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atejka\Documents\OPŽP 2021+\Výzvy\88. výzva\"/>
    </mc:Choice>
  </mc:AlternateContent>
  <xr:revisionPtr revIDLastSave="0" documentId="8_{DF45BE29-696A-4026-ADF7-248802B277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R" sheetId="1" r:id="rId1"/>
    <sheet name="zdroj" sheetId="2" state="hidden" r:id="rId2"/>
    <sheet name="výstup" sheetId="3" r:id="rId3"/>
  </sheets>
  <definedNames>
    <definedName name="_ftn1" localSheetId="1">zdroj!$M$40</definedName>
    <definedName name="_ftn2" localSheetId="1">zdroj!$D$60</definedName>
    <definedName name="_ftnref1" localSheetId="1">zdroj!$M$37</definedName>
    <definedName name="_Hlk72786702" localSheetId="1">zdroj!$D$33</definedName>
    <definedName name="_Toc70076319" localSheetId="1">zdroj!$M$3</definedName>
    <definedName name="_Toc70076332" localSheetId="1">zdroj!$D$35</definedName>
    <definedName name="_Toc88238339" localSheetId="1">zdroj!$D$2</definedName>
    <definedName name="_Toc99112534" localSheetId="1">zdroj!$M$12</definedName>
    <definedName name="_Toc99112553" localSheetId="1">zdroj!$M$29</definedName>
    <definedName name="_xlnm.Print_Area" localSheetId="0">KR!$A$1:$J$38</definedName>
    <definedName name="Opatreni">zdroj!$M$36:$M$47,zdroj!$M$25:$M$35,zdroj!$M$20:$M$24,zdroj!$M$10:$M$12,zdroj!$M$2:$M$9</definedName>
    <definedName name="Opatreni_2">#REF!,#REF!,#REF!,#REF!,#REF!</definedName>
    <definedName name="porno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D22" i="1" l="1"/>
  <c r="A2" i="2"/>
  <c r="D28" i="1" l="1"/>
  <c r="F28" i="1" s="1"/>
  <c r="D5" i="3" l="1"/>
  <c r="D8" i="3"/>
  <c r="D7" i="3"/>
  <c r="D6" i="3"/>
  <c r="O2" i="2"/>
  <c r="P72" i="2"/>
  <c r="Q72" i="2" s="1"/>
  <c r="P73" i="2"/>
  <c r="Q73" i="2" s="1"/>
  <c r="P71" i="2"/>
  <c r="Q71" i="2" s="1"/>
  <c r="P68" i="2"/>
  <c r="Q68" i="2" s="1"/>
  <c r="P66" i="2"/>
  <c r="Q66" i="2" s="1"/>
  <c r="P67" i="2"/>
  <c r="Q67" i="2" s="1"/>
  <c r="P65" i="2"/>
  <c r="Q65" i="2" s="1"/>
  <c r="P62" i="2"/>
  <c r="Q62" i="2" s="1"/>
  <c r="P60" i="2"/>
  <c r="Q60" i="2" s="1"/>
  <c r="P61" i="2"/>
  <c r="Q61" i="2" s="1"/>
  <c r="P59" i="2"/>
  <c r="Q59" i="2" s="1"/>
  <c r="Q74" i="2" l="1"/>
  <c r="H11" i="1" s="1"/>
  <c r="Q69" i="2"/>
  <c r="H10" i="1" s="1"/>
  <c r="Q63" i="2"/>
  <c r="H9" i="1" s="1"/>
  <c r="H21" i="1"/>
  <c r="H20" i="1"/>
  <c r="H19" i="1"/>
  <c r="H18" i="1"/>
  <c r="D31" i="3"/>
  <c r="D30" i="3"/>
  <c r="D29" i="3"/>
  <c r="D26" i="3"/>
  <c r="D27" i="3"/>
  <c r="D25" i="3"/>
  <c r="D24" i="3"/>
  <c r="D15" i="3"/>
  <c r="D16" i="3"/>
  <c r="D17" i="3"/>
  <c r="D18" i="3"/>
  <c r="D19" i="3"/>
  <c r="D20" i="3"/>
  <c r="D21" i="3"/>
  <c r="D22" i="3"/>
  <c r="D14" i="3"/>
  <c r="D13" i="3"/>
  <c r="D4" i="3"/>
  <c r="D3" i="3"/>
  <c r="A57" i="2" l="1"/>
  <c r="A58" i="2"/>
  <c r="A56" i="2"/>
  <c r="M70" i="2"/>
  <c r="M69" i="2"/>
  <c r="M68" i="2"/>
  <c r="M67" i="2"/>
  <c r="M66" i="2"/>
  <c r="M65" i="2"/>
  <c r="M64" i="2"/>
  <c r="M63" i="2"/>
  <c r="M62" i="2"/>
  <c r="M61" i="2"/>
  <c r="M60" i="2"/>
  <c r="L70" i="2"/>
  <c r="L69" i="2"/>
  <c r="L68" i="2"/>
  <c r="L67" i="2"/>
  <c r="L66" i="2"/>
  <c r="L65" i="2"/>
  <c r="L64" i="2"/>
  <c r="L63" i="2"/>
  <c r="L62" i="2"/>
  <c r="L61" i="2"/>
  <c r="L60" i="2"/>
  <c r="K70" i="2"/>
  <c r="K69" i="2"/>
  <c r="K68" i="2"/>
  <c r="K67" i="2"/>
  <c r="K66" i="2"/>
  <c r="K65" i="2"/>
  <c r="K64" i="2"/>
  <c r="K63" i="2"/>
  <c r="K62" i="2"/>
  <c r="K61" i="2"/>
  <c r="K60" i="2"/>
  <c r="J70" i="2"/>
  <c r="J69" i="2"/>
  <c r="J68" i="2"/>
  <c r="J67" i="2"/>
  <c r="J66" i="2"/>
  <c r="J65" i="2"/>
  <c r="J64" i="2"/>
  <c r="J63" i="2"/>
  <c r="J62" i="2"/>
  <c r="J61" i="2"/>
  <c r="J60" i="2"/>
  <c r="I70" i="2"/>
  <c r="I69" i="2"/>
  <c r="I68" i="2"/>
  <c r="I67" i="2"/>
  <c r="I66" i="2"/>
  <c r="I65" i="2"/>
  <c r="I64" i="2"/>
  <c r="I63" i="2"/>
  <c r="I62" i="2"/>
  <c r="I61" i="2"/>
  <c r="I60" i="2"/>
  <c r="H70" i="2"/>
  <c r="H69" i="2"/>
  <c r="H68" i="2"/>
  <c r="H67" i="2"/>
  <c r="H66" i="2"/>
  <c r="H65" i="2"/>
  <c r="H64" i="2"/>
  <c r="H63" i="2"/>
  <c r="H62" i="2"/>
  <c r="H61" i="2"/>
  <c r="H60" i="2"/>
  <c r="G70" i="2"/>
  <c r="G69" i="2"/>
  <c r="G68" i="2"/>
  <c r="G67" i="2"/>
  <c r="G66" i="2"/>
  <c r="G65" i="2"/>
  <c r="G64" i="2"/>
  <c r="G63" i="2"/>
  <c r="G62" i="2"/>
  <c r="G61" i="2"/>
  <c r="G60" i="2"/>
  <c r="F70" i="2"/>
  <c r="F69" i="2"/>
  <c r="F68" i="2"/>
  <c r="F67" i="2"/>
  <c r="F66" i="2"/>
  <c r="F65" i="2"/>
  <c r="F64" i="2"/>
  <c r="F63" i="2"/>
  <c r="F62" i="2"/>
  <c r="F61" i="2"/>
  <c r="F60" i="2"/>
  <c r="E70" i="2"/>
  <c r="E69" i="2"/>
  <c r="E68" i="2"/>
  <c r="E67" i="2"/>
  <c r="E66" i="2"/>
  <c r="E65" i="2"/>
  <c r="E64" i="2"/>
  <c r="E63" i="2"/>
  <c r="E62" i="2"/>
  <c r="E61" i="2"/>
  <c r="E60" i="2"/>
  <c r="D70" i="2"/>
  <c r="D69" i="2"/>
  <c r="D68" i="2"/>
  <c r="D67" i="2"/>
  <c r="D66" i="2"/>
  <c r="D65" i="2"/>
  <c r="D64" i="2"/>
  <c r="D63" i="2"/>
  <c r="D62" i="2"/>
  <c r="D61" i="2"/>
  <c r="D60" i="2"/>
  <c r="E36" i="1" l="1"/>
  <c r="B23" i="2" l="1"/>
  <c r="D20" i="2"/>
  <c r="D19" i="2"/>
  <c r="D18" i="2"/>
  <c r="D17" i="2"/>
  <c r="D16" i="2"/>
  <c r="D15" i="2"/>
  <c r="D14" i="2"/>
  <c r="D13" i="2"/>
  <c r="D10" i="2"/>
  <c r="D11" i="2"/>
  <c r="D12" i="2"/>
  <c r="F83" i="2" l="1"/>
  <c r="E83" i="2"/>
  <c r="D83" i="2"/>
  <c r="D81" i="2"/>
  <c r="F80" i="2"/>
  <c r="F82" i="2"/>
  <c r="E82" i="2"/>
  <c r="D82" i="2"/>
  <c r="E81" i="2"/>
  <c r="E80" i="2"/>
  <c r="D80" i="2"/>
  <c r="F81" i="2"/>
  <c r="G77" i="2"/>
  <c r="G73" i="2"/>
  <c r="F74" i="2"/>
  <c r="E75" i="2"/>
  <c r="D76" i="2"/>
  <c r="G76" i="2"/>
  <c r="F77" i="2"/>
  <c r="F73" i="2"/>
  <c r="E74" i="2"/>
  <c r="D75" i="2"/>
  <c r="G75" i="2"/>
  <c r="F76" i="2"/>
  <c r="E77" i="2"/>
  <c r="E73" i="2"/>
  <c r="D74" i="2"/>
  <c r="G74" i="2"/>
  <c r="F75" i="2"/>
  <c r="E76" i="2"/>
  <c r="D77" i="2"/>
  <c r="D73" i="2"/>
  <c r="C51" i="1"/>
  <c r="M47" i="2"/>
  <c r="M48" i="2"/>
  <c r="D24" i="2"/>
  <c r="M50" i="2"/>
  <c r="M49" i="2"/>
  <c r="D25" i="2"/>
  <c r="D27" i="2"/>
  <c r="D26" i="2"/>
  <c r="D23" i="2"/>
  <c r="D12" i="3" l="1"/>
  <c r="F59" i="1"/>
  <c r="F55" i="1"/>
  <c r="F56" i="1"/>
  <c r="F53" i="1"/>
  <c r="F58" i="1"/>
  <c r="F54" i="1"/>
  <c r="F57" i="1"/>
  <c r="F61" i="1"/>
  <c r="F52" i="1"/>
  <c r="F60" i="1"/>
  <c r="C64" i="1"/>
  <c r="C71" i="1"/>
  <c r="F18" i="1"/>
  <c r="D23" i="3" l="1"/>
  <c r="G65" i="1"/>
  <c r="G68" i="1"/>
  <c r="G66" i="1"/>
  <c r="G67" i="1"/>
  <c r="D28" i="3"/>
  <c r="H74" i="1"/>
  <c r="H72" i="1"/>
  <c r="H73" i="1"/>
  <c r="R43" i="2"/>
  <c r="F21" i="1" l="1"/>
  <c r="F20" i="1"/>
  <c r="F19" i="1"/>
  <c r="I18" i="1"/>
  <c r="F22" i="1" l="1"/>
  <c r="I21" i="1"/>
  <c r="I20" i="1"/>
  <c r="I19" i="1"/>
  <c r="H22" i="1"/>
  <c r="L1" i="2"/>
  <c r="I23" i="1" l="1"/>
  <c r="P33" i="2" s="1"/>
  <c r="I22" i="1"/>
  <c r="P30" i="2" l="1"/>
  <c r="P32" i="2" s="1"/>
  <c r="P41" i="2" s="1"/>
  <c r="I24" i="1" l="1"/>
  <c r="J26" i="1"/>
  <c r="R41" i="2"/>
  <c r="F27" i="1"/>
  <c r="F41" i="1" l="1"/>
  <c r="D32" i="3" s="1"/>
  <c r="I26" i="1"/>
  <c r="I25" i="1" s="1"/>
  <c r="P40" i="2"/>
  <c r="H27" i="1" s="1"/>
  <c r="H28" i="1" s="1"/>
  <c r="D29" i="1" l="1"/>
  <c r="B29" i="1" s="1"/>
  <c r="D35" i="3"/>
  <c r="R40" i="2"/>
  <c r="S41" i="2" s="1"/>
  <c r="T41" i="2" s="1"/>
  <c r="S45" i="2"/>
  <c r="S43" i="2"/>
  <c r="I27" i="1"/>
  <c r="D9" i="3" l="1"/>
  <c r="I28" i="1"/>
  <c r="F43" i="1" s="1"/>
  <c r="D30" i="1" l="1"/>
  <c r="D36" i="3"/>
  <c r="F42" i="1" l="1"/>
  <c r="D33" i="3" s="1"/>
  <c r="D10" i="3"/>
  <c r="D31" i="1"/>
  <c r="D34" i="3" s="1"/>
  <c r="D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  <author>Bajer Pavel</author>
  </authors>
  <commentList>
    <comment ref="B10" authorId="0" shapeId="0" xr:uid="{00000000-0006-0000-0000-000001000000}">
      <text>
        <r>
          <rPr>
            <sz val="9"/>
            <color indexed="81"/>
            <rFont val="Calibri"/>
            <family val="2"/>
            <charset val="238"/>
            <scheme val="minor"/>
          </rPr>
          <t>platí pouze pro Opatření 1.3.1; 1.6.1 a 1.6.2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  <charset val="238"/>
            <scheme val="minor"/>
          </rPr>
          <t>platí pouze pro Aktivitu 1.3.1.1, 1.3.1.2 a 1.6.1.1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4" authorId="0" shapeId="0" xr:uid="{00000000-0006-0000-0000-000003000000}">
      <text>
        <r>
          <rPr>
            <sz val="9"/>
            <color indexed="81"/>
            <rFont val="Calibri"/>
            <family val="2"/>
            <charset val="238"/>
            <scheme val="minor"/>
          </rPr>
          <t>relevantní pouze v případě Veřejné podpory</t>
        </r>
      </text>
    </comment>
    <comment ref="G17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Vyplnit pouze náklady, které nebudou nárokovány jako věcně způsobilé bez zohlednění maximálních způsobilých nákladů podle rozsahu opatření a bez zohlednění maximálního procenta na paušální sazbu.</t>
        </r>
      </text>
    </comment>
    <comment ref="H17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Zohlední plátcovství DPH, max. částky na jednotlivé položky a žadatelem stanovené věcně nezpůsobilé náklady.</t>
        </r>
      </text>
    </comment>
    <comment ref="J23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SO/PS + příp. nákup pozemku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26" authorId="0" shapeId="0" xr:uid="{00000000-0006-0000-0000-000007000000}">
      <text>
        <r>
          <rPr>
            <b/>
            <sz val="10"/>
            <color indexed="81"/>
            <rFont val="Tahoma"/>
            <family val="2"/>
            <charset val="238"/>
          </rPr>
          <t xml:space="preserve">% HODNOTY PAUŠÁLNÍHO FINANCOVÁNÍ NEPŘÍMÝCH NÁKLADŮ u SC 1.3 a 1.6
</t>
        </r>
        <r>
          <rPr>
            <sz val="10"/>
            <color indexed="81"/>
            <rFont val="Tahoma"/>
            <family val="2"/>
            <charset val="238"/>
          </rPr>
          <t>7% u projektů, jejichž celkové způsobilé přímé realizační výdaje nepřesahují 10 mil. Kč,
5% u projektů, jejichž celkové způsobilé přímé realizační výdaje jsou vyšší než 10 mil. Kč.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>MAXIMÁLNÍ PAUŠÁLNÍ SAZBA JE 15 000 000,- Kč u všech SC</t>
        </r>
      </text>
    </comment>
    <comment ref="D29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do CNP se počítá též DPH z paušální sazby dle plátcovství DPH u žadatele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Pecha Martin</author>
  </authors>
  <commentList>
    <comment ref="I1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Pecha Martin:</t>
        </r>
        <r>
          <rPr>
            <sz val="9"/>
            <color indexed="81"/>
            <rFont val="Tahoma"/>
            <family val="2"/>
            <charset val="238"/>
          </rPr>
          <t xml:space="preserve">
k 28.7.2022</t>
        </r>
      </text>
    </comment>
  </commentList>
</comments>
</file>

<file path=xl/sharedStrings.xml><?xml version="1.0" encoding="utf-8"?>
<sst xmlns="http://schemas.openxmlformats.org/spreadsheetml/2006/main" count="313" uniqueCount="259">
  <si>
    <t>Kumulativní rozpočet projektu</t>
  </si>
  <si>
    <t>Název žadatele:</t>
  </si>
  <si>
    <t>Název projektu:</t>
  </si>
  <si>
    <t>1.1.1 Snížení energetické náročnosti veřejných budov a veřejné infrastruktury</t>
  </si>
  <si>
    <t>Opatření specifického cíle:</t>
  </si>
  <si>
    <t>1.1.2 Snížení energetické náročnosti/zvýšení účinnosti technologických procesů</t>
  </si>
  <si>
    <t>1.1.4 Zvýšení adaptability veřejných budov na změnu klimatu</t>
  </si>
  <si>
    <t>1.1.5 Výstavba nových veřejných budov, které budou splňovat parametry pro pasivní nebo plusové budovy</t>
  </si>
  <si>
    <t>1.2.1 Výstavba a rekonstrukce obnovitelných zdrojů energie pro veřejné budovy</t>
  </si>
  <si>
    <t>1.2.3 Výměna nevyhovujících spalovacích zdrojů na tuhá paliva a pořizování domovních předávacích stanic</t>
  </si>
  <si>
    <t>1.2.2 Výstavba a rekonstrukce obnovitelných zdrojů energie pro zajištění dodávek systémové energie ve veřejném sektoru</t>
  </si>
  <si>
    <t>Aktivita (je-li relevantní):</t>
  </si>
  <si>
    <t>1.4.2 Intenzifikace čistíren odpadních vod za účelem zvýšeného odstraňování specifického znečištění</t>
  </si>
  <si>
    <t>1.4.3 Opatření omezující vypouštění odpadních vod z odlehčení na kanalizaci (akumulační nádrže, retenční nádrže, chemické předčištění apod.)</t>
  </si>
  <si>
    <t>1.4.4 Výstavba a modernizace vodovodních přivaděčů a vodovodních řadů; výstavba úpraven vody; výstavba, intenzifikace nebo revitalizace stávajících vodních zdrojů</t>
  </si>
  <si>
    <t>1.4.5 Intenzifikace úpraven pitné vody</t>
  </si>
  <si>
    <t>1.5.1 Kompostéry pro předcházení vzniku komunálních odpadů</t>
  </si>
  <si>
    <t>1.5.2 RE-USE centra pro opětovné použití výrobků včetně aktivit pro opravy a prodlužování životnosti výrobků, podpora prevence vzniku odpadu</t>
  </si>
  <si>
    <t>1.5.3 Budování infrastruktury potravinových bank</t>
  </si>
  <si>
    <t>1.5.4 Podpora prevence vzniku odpadů z jednorázového nádobí nebo jednorázových obalů</t>
  </si>
  <si>
    <t>1.5.6 Podpora třídících a dotřiďovacích systémů (včetně úpravy) pro separaci ostatních odpadů</t>
  </si>
  <si>
    <t>1.5.7 Budování zařízení pro úpravu a zpracování čistírenských odpadních kalů z čistíren odpadních vod včetně úpravy vyčištěných odpadních vod pro jejich opětovné využívání</t>
  </si>
  <si>
    <t>1.5.8 Výstavba a modernizace zařízení pro materiálové využití odpadů</t>
  </si>
  <si>
    <t>1.5.9 Výstavba a modernizace zařízení pro energetické využití odpadů, včetně bioplynových stanic pro zpracování odpadů</t>
  </si>
  <si>
    <t>1.5.10 Budování a modernizace zařízení pro chemickou recyklaci odpadů</t>
  </si>
  <si>
    <t>1.5.11 Budování a modernizace zařízení pro sběr a nakládání s nebezpečnými odpady</t>
  </si>
  <si>
    <t>1.5.5 Výstavba a modernizace sběrných dvorů, doplnění a zefektivnění systému odděleného sběru/svozu zejména komunálních odpadů včetně podpory door-to-door systémů a zavádění systémů PAYT ("Pay-as-You-Throw")</t>
  </si>
  <si>
    <t>vyber Aktivitu</t>
  </si>
  <si>
    <t>1_1</t>
  </si>
  <si>
    <t>2_1</t>
  </si>
  <si>
    <t>2_2</t>
  </si>
  <si>
    <t>2_3</t>
  </si>
  <si>
    <t>3_1</t>
  </si>
  <si>
    <t>3_2</t>
  </si>
  <si>
    <t>3_3</t>
  </si>
  <si>
    <t>4_1</t>
  </si>
  <si>
    <t>4_2</t>
  </si>
  <si>
    <t>4_3</t>
  </si>
  <si>
    <t>5_1</t>
  </si>
  <si>
    <t>5_2</t>
  </si>
  <si>
    <t>5_3</t>
  </si>
  <si>
    <t>5_4</t>
  </si>
  <si>
    <t>5_5</t>
  </si>
  <si>
    <t>6_1</t>
  </si>
  <si>
    <t>6_2</t>
  </si>
  <si>
    <t>6_3</t>
  </si>
  <si>
    <t>6_4</t>
  </si>
  <si>
    <t>6_5</t>
  </si>
  <si>
    <t>6_6</t>
  </si>
  <si>
    <t>6_7</t>
  </si>
  <si>
    <t>6_8</t>
  </si>
  <si>
    <t>6_9</t>
  </si>
  <si>
    <t>6_10</t>
  </si>
  <si>
    <t>6_11</t>
  </si>
  <si>
    <t>2_4</t>
  </si>
  <si>
    <t>2_5</t>
  </si>
  <si>
    <t>7_1</t>
  </si>
  <si>
    <t>7_2</t>
  </si>
  <si>
    <t>7_3</t>
  </si>
  <si>
    <t>7_4</t>
  </si>
  <si>
    <t>7_5</t>
  </si>
  <si>
    <t>7_6</t>
  </si>
  <si>
    <t>7_7</t>
  </si>
  <si>
    <t>7_8</t>
  </si>
  <si>
    <t>Vyber Specifický cíl</t>
  </si>
  <si>
    <t>Veřejná podpora:</t>
  </si>
  <si>
    <t>mimo Veřejnou podporu</t>
  </si>
  <si>
    <t>Souhrnný rozpočet</t>
  </si>
  <si>
    <t>Nákup pozemku</t>
  </si>
  <si>
    <t>Realizace</t>
  </si>
  <si>
    <t>Nezpůsobilá část celkem</t>
  </si>
  <si>
    <t>DPH [%]</t>
  </si>
  <si>
    <t>Celkem</t>
  </si>
  <si>
    <t>%PP</t>
  </si>
  <si>
    <t>Velikost podniku:</t>
  </si>
  <si>
    <t>Střední podnik</t>
  </si>
  <si>
    <t>Velký podnik</t>
  </si>
  <si>
    <t>Vyber</t>
  </si>
  <si>
    <t>Specifický cíl:</t>
  </si>
  <si>
    <t xml:space="preserve"> = Celk. zp. přímé realizační výdaje</t>
  </si>
  <si>
    <t xml:space="preserve"> = Celk. zp. náklady (realizace)</t>
  </si>
  <si>
    <t>Celkové způsobilé výdaje projeku</t>
  </si>
  <si>
    <t>Celkové nezpůsobilé výdaje projetku</t>
  </si>
  <si>
    <t>CZN PP VP</t>
  </si>
  <si>
    <t>% CZN max</t>
  </si>
  <si>
    <t>7% pod 3 mil</t>
  </si>
  <si>
    <t>3,5% nad 10 mil</t>
  </si>
  <si>
    <t>5% 3 až 10 mil</t>
  </si>
  <si>
    <t>zde vepište případný komentář k nezpůsobilým výdajům</t>
  </si>
  <si>
    <t>kurz euro Kč</t>
  </si>
  <si>
    <t>https://ec.europa.eu/info/funding-tenders/procedures-guidelines-tenders/information-contractors-and-beneficiaries/exchange-rate-inforeuro_cs</t>
  </si>
  <si>
    <t>1.1.3 Zlepšení kvality vnitřního prostředí veřejných budov</t>
  </si>
  <si>
    <t>1.3.1 Podpora přírodě blízkých opatření v krajině a sídlech</t>
  </si>
  <si>
    <t>1.3.2 Zpracování studií a plánů (studie systémů sídelní zeleně, územní studie krajiny, plán územního systému ekologické stability)</t>
  </si>
  <si>
    <t>1.3.3 Realizace protipovodňových opatření</t>
  </si>
  <si>
    <t>1.3.4 Realizace opatření ke zpomalení odtoku, pro vsak, retenci a akumulaci srážkové vody vč. jejího dalšího využití; realizace zelených střech; opatření na využití šedé vody; opatření pro řízenou dotaci podzemních vod</t>
  </si>
  <si>
    <t xml:space="preserve">1.3.5 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 </t>
  </si>
  <si>
    <t>1.3.6 Podpora povodňové operativy, zvyšování povědomí obyvatel o povodňovém riziku, zvyšování resilience citlivých objektů před povodněmi</t>
  </si>
  <si>
    <t>1.3.7 Monitoring a rebilance dlouhodobě využitelných zdrojů podzemních vod pro obce v krystaliniku Českého masivu</t>
  </si>
  <si>
    <t>1.3.8 Obnova stability svahů, stabilizace a sanace extrémních svahových nestabilit vzniklých v důsledku přírodních jevů</t>
  </si>
  <si>
    <t>1.3.9 Investice do modernizace vzdělávacích environmentálních center zaměřených na změnu klimatu</t>
  </si>
  <si>
    <t>1.3.10 Prevence a řízení antropogenních rizik</t>
  </si>
  <si>
    <t xml:space="preserve">1.4.1 Výstavba čistíren odpadních vod; dobudování a výstavba kanalizaci </t>
  </si>
  <si>
    <t>1.6.1 Podpora přírodních stanovišť a druhů a péče o nejcennější části přírody a krajiny</t>
  </si>
  <si>
    <t>1.6.2 Zprůchodnění migračních překážek pro živočichy</t>
  </si>
  <si>
    <t>1.6.3 Modernizace a rozvoj záchranných stanic a záchranných center CITES pro ohrožené druhy živočichů</t>
  </si>
  <si>
    <t>1.6.5 Pořízení a modernizace systémů pro posuzování a vyhodnocení úrovně znečištění ovzduší a souvisejících meteorologických aspektů a pořízení a modernizace systémů pro archivaci a zpracování údajů o znečišťování ovzduší</t>
  </si>
  <si>
    <t>1.6.6 Pořízení a náhrada monitorovacích systémů pro kontinuální měření emisí znečišťujících látek včetně pořízení on-line systémů k jejich prezentaci</t>
  </si>
  <si>
    <t>1.6.4 Náhrada nebo rekonstrukce stacionárních zdrojů znečišťování ovzduší včetně realizace dodatečných technologií a změny technologických postupů</t>
  </si>
  <si>
    <t>1.6.7 Průzkum rozsahu znečištění horninového prostředí a rizik s ním spojených, včetně návrhu efektivního řešení</t>
  </si>
  <si>
    <t>1.6.8 Odstranění rizik kontaminace ohrožující lidské zdraví, vodní zdroje nebo ekosystémy a rekultivace starých skládek</t>
  </si>
  <si>
    <t>4_4</t>
  </si>
  <si>
    <t>4_5</t>
  </si>
  <si>
    <t>4_6</t>
  </si>
  <si>
    <t>4_7</t>
  </si>
  <si>
    <t>4_8</t>
  </si>
  <si>
    <t>4_9</t>
  </si>
  <si>
    <t>4_10</t>
  </si>
  <si>
    <t>vyber Podaktivitu</t>
  </si>
  <si>
    <t>Paušální sazba</t>
  </si>
  <si>
    <t>Nepřímé náklady dle Pržap - Příloha č. 3, část III.</t>
  </si>
  <si>
    <t>vývoj/koncepce vzdělávacích programů pro poskytování klimatického vzdělávání</t>
  </si>
  <si>
    <t>Komentář ke stanoveným nezpůsobilým nákladům:</t>
  </si>
  <si>
    <t>Důležité informace jsou označeny v komentáři u daných buněk.</t>
  </si>
  <si>
    <t xml:space="preserve"> </t>
  </si>
  <si>
    <t>DPH uznatelnost:</t>
  </si>
  <si>
    <t>Podaktivita (je-li relevantní)</t>
  </si>
  <si>
    <t>1.1 Podpora energetické účinnosti a snižování emisí skleníkových plynů</t>
  </si>
  <si>
    <t>1.2 Podpora energie z obnovitelných zdrojů v souladu se směrnicí (EU) 2018/2001, včetně kritérií udržitelnosti stanovených v uvedené směrnici</t>
  </si>
  <si>
    <t>1.3 Podpora přizpůsobení se změně klimatu, prevence rizika katastrof a odolnosti vůči nim s přihlédnutím k ekosystémovým přístupům</t>
  </si>
  <si>
    <t>1.4 Podpora přístupu k vodě a udržitelného hospodaření s vodou</t>
  </si>
  <si>
    <t>1.5 Podpora přechodu na oběhové hospodářství účinně využívající zdroje</t>
  </si>
  <si>
    <t>1.6 Posilování ochrany a zachování přírody, biologické rozmanitosti a zelené infrastruktury, a to i v městských oblastech, a snižování všech forem znečištění</t>
  </si>
  <si>
    <t>1.3.1.1 Tvorba nových a obnova stávajících přírodě blízkých vodních prvků v krajině včetně sídel</t>
  </si>
  <si>
    <t>1.3.1.2 Tvorba nových a obnova stávajících vegetačních prvků a struktur, včetně opatření proti vodní a větrné erozi</t>
  </si>
  <si>
    <t>1.3.1.3 Úprava lesních porostů směrem k přirozené struktuře a druhové skladbě za účelem posílení jejich stability</t>
  </si>
  <si>
    <t>1.3.1.4 Zakládání a obnova veřejné sídelní zeleně</t>
  </si>
  <si>
    <t>1.3.1.5 Odstranění či eliminace negativních funkcí odvodňovacích zařízení v krajině</t>
  </si>
  <si>
    <t>1.6.1.1 Péče o přírodní stanoviště a druhy, opatření na podporu ohrožených druhů</t>
  </si>
  <si>
    <t xml:space="preserve">1.6.1.2 Péče o chráněná území (přírodní dědictví) </t>
  </si>
  <si>
    <t>1.6.1.3 Omezení šíření invazních nepůvodních a expanzivních druhů</t>
  </si>
  <si>
    <t>1.6.1.4 Monitoring ekosystémů, stanovišť a druhů, sběr podkladů, zpracování koncepčních dokumentů pro péči o chráněná území, zajištění územní ochrany chráněných území (přírodního dědictví</t>
  </si>
  <si>
    <t>1.6.1.5 Návštěvnická infrastruktura sloužící k usměrnění návštěvníků v chráněných územích a zvýšení povědomí o problematice ochrany přírody</t>
  </si>
  <si>
    <t>1.6.2.1 Zprůchodnění migračních překážek pro vodní živočichy a opatření k omezování jejich úmrtnosti</t>
  </si>
  <si>
    <t>1.6.2.2 Zprůchodnění migračních překážek pro suchozemské živočichy a opatření k omezování jejich úmrtnosti</t>
  </si>
  <si>
    <t>1.3.1.1.2 Malé vodní nádrže (MVN)</t>
  </si>
  <si>
    <t>1.3.1.1.3 Revitalizace a renaturace vodních toků a niv</t>
  </si>
  <si>
    <t>1.3.1.1.4 Nákup pozemků pro podporu renaturačních procesů a revitalizací vodních toků</t>
  </si>
  <si>
    <t>1.3.1.2.1 Vegetační krajinné prvky (včetně skladebných prvků ÚSES)</t>
  </si>
  <si>
    <t>1.3.1.2.2 Zavádění půdoochranných technologií</t>
  </si>
  <si>
    <t>1.6.1.1.1 Péče o přírodní stanoviště a druhy, opatření na podporu ohrožených druhů</t>
  </si>
  <si>
    <t>1.6.1.1.2 Předcházení, minimalizace a náprava škod způsobených vybranými zvláště chráněnými druhy živočichů</t>
  </si>
  <si>
    <t>1.3.1.1.1 Vytváření a obnova tůní (mokřadů)</t>
  </si>
  <si>
    <t>DPH uznatelné = Nejsem plátce DPH</t>
  </si>
  <si>
    <t>DPH uznatelné = Jsem plátce DPH a nemám zákonný nárok na odpočet DPH ve vztahu k aktivitám projektu</t>
  </si>
  <si>
    <t>9_1</t>
  </si>
  <si>
    <t>9_2</t>
  </si>
  <si>
    <t>35_1</t>
  </si>
  <si>
    <t>irelevantní</t>
  </si>
  <si>
    <t>Celkové náklady projektu</t>
  </si>
  <si>
    <t>Náklady bez DPH</t>
  </si>
  <si>
    <t>Náklady s DPH</t>
  </si>
  <si>
    <t>Nezpůsobilá část z celkových nákladů stanovená žadatelem (bez DPH)</t>
  </si>
  <si>
    <t>Způsobilé náklady po zohlednění limitů způsobilých nákladů a způsobilosti DPH</t>
  </si>
  <si>
    <t>Zpracoval</t>
  </si>
  <si>
    <t>………………………………..</t>
  </si>
  <si>
    <t>Maximální výše způsobilých nepřímých nákladů se automaticky dopočítává dle výše celkových způsobilých přímých realizačních výdajů a uznatelnosti DPH</t>
  </si>
  <si>
    <t>více opatření</t>
  </si>
  <si>
    <t>více aktivit</t>
  </si>
  <si>
    <t>více podaktivit</t>
  </si>
  <si>
    <t>Vyber nejprve Specifický cíl a poté hlavní Opatření projektu</t>
  </si>
  <si>
    <t>Opatření #2</t>
  </si>
  <si>
    <t>Opatření #3</t>
  </si>
  <si>
    <t>Opatření #4</t>
  </si>
  <si>
    <t>Opatření #5</t>
  </si>
  <si>
    <t>Opatření #6</t>
  </si>
  <si>
    <t>Opatření #7</t>
  </si>
  <si>
    <t>Opatření #8</t>
  </si>
  <si>
    <t>Opatření #9</t>
  </si>
  <si>
    <t>Opatření #10</t>
  </si>
  <si>
    <t>Opatření #11</t>
  </si>
  <si>
    <t>vyber Opatření #2</t>
  </si>
  <si>
    <t>vyber Opatření #3</t>
  </si>
  <si>
    <t>vyber Opatření #4</t>
  </si>
  <si>
    <t>vyber Opatření #5</t>
  </si>
  <si>
    <t>vyber Opatření #6</t>
  </si>
  <si>
    <t>vyber Opatření #7</t>
  </si>
  <si>
    <t>vyber Opatření #8</t>
  </si>
  <si>
    <t>vyber Opatření #9</t>
  </si>
  <si>
    <t>vyber Opatření #10</t>
  </si>
  <si>
    <t>vyber Opatření #11</t>
  </si>
  <si>
    <t>Opatření - vyberte všechna další Opatření na projektu</t>
  </si>
  <si>
    <t>vyber Aktivitu #2</t>
  </si>
  <si>
    <t>vyber Aktivitu #3</t>
  </si>
  <si>
    <t>vyber Aktivitu #4</t>
  </si>
  <si>
    <t>vyber Aktivitu #5</t>
  </si>
  <si>
    <t>hlavní Aktivita z KR</t>
  </si>
  <si>
    <t>hlavní Opatření dle KR</t>
  </si>
  <si>
    <t>Aktivity - vyberte všechny další Aktivity na projektu</t>
  </si>
  <si>
    <t>Podaktivity - vyberte všechny další Podaktivity na projektu</t>
  </si>
  <si>
    <t>hlavní Podaktivita z KR</t>
  </si>
  <si>
    <t>vyber Podaktivitu #2</t>
  </si>
  <si>
    <t>vyber Podaktivitu #3</t>
  </si>
  <si>
    <t>vyber Podaktivitu #4</t>
  </si>
  <si>
    <t>Opatření specifického cíle (hlavní)</t>
  </si>
  <si>
    <t>Aktivita (hlavní)</t>
  </si>
  <si>
    <t>Podaktivita (hlavní)</t>
  </si>
  <si>
    <t>Aktivita #2</t>
  </si>
  <si>
    <t>Aktivita #3</t>
  </si>
  <si>
    <t>Aktivita #4</t>
  </si>
  <si>
    <t>Aktivita #5</t>
  </si>
  <si>
    <t>Podaktivita #2</t>
  </si>
  <si>
    <t>Podaktivita #3</t>
  </si>
  <si>
    <t>Podaktivita #4</t>
  </si>
  <si>
    <r>
      <t xml:space="preserve">moje ctrl - </t>
    </r>
    <r>
      <rPr>
        <b/>
        <sz val="11"/>
        <color theme="0"/>
        <rFont val="Calibri"/>
        <family val="2"/>
        <charset val="238"/>
        <scheme val="minor"/>
      </rPr>
      <t>vymazat</t>
    </r>
  </si>
  <si>
    <t xml:space="preserve">de minimis 1407/2013 </t>
  </si>
  <si>
    <t xml:space="preserve">de minimis 1408/2013 </t>
  </si>
  <si>
    <t xml:space="preserve">de minimis 717/2014 </t>
  </si>
  <si>
    <t xml:space="preserve">de minimis 360/2012 </t>
  </si>
  <si>
    <t>GBER článek 14</t>
  </si>
  <si>
    <t>GBER ŽP článek 36</t>
  </si>
  <si>
    <t>GBER ŽP článek 38</t>
  </si>
  <si>
    <t>GBER ŽP článek 40</t>
  </si>
  <si>
    <t>GBER ŽP článek 41</t>
  </si>
  <si>
    <t>GBER ŽP článek 45</t>
  </si>
  <si>
    <t>GBER ŽP článek 46</t>
  </si>
  <si>
    <t>GBER ŽP článek 47</t>
  </si>
  <si>
    <t>GBER ŽP článek 49</t>
  </si>
  <si>
    <t xml:space="preserve">GBER článek 53, kulturní infrastruktura </t>
  </si>
  <si>
    <t>GBER článek 55, sportovní infrastruktura</t>
  </si>
  <si>
    <t>GBER článek 56, lokální infrastruktura</t>
  </si>
  <si>
    <t xml:space="preserve">SGEI Rozhodnutí Komise </t>
  </si>
  <si>
    <t xml:space="preserve">SGEI Nařízení Evropského parlamentu a Rady (ES) č. 1370/2007 – Doprava </t>
  </si>
  <si>
    <t xml:space="preserve">Pokyny AGRI, Prevence škod způsobených zvláště chráněnými živočišnými druhy </t>
  </si>
  <si>
    <t>paušál PP</t>
  </si>
  <si>
    <t>Celkové způsobilé výdaje projektu</t>
  </si>
  <si>
    <t>Celkové nezpůsobilé výdaje projektu</t>
  </si>
  <si>
    <t>Výstup z Kumulativního rozpočtu do rozpočtu v ISKP21+</t>
  </si>
  <si>
    <t>Rozdělení nákladů na investiční a neinvestiční zadá do ISKP21+ žadatel v souladu s účetními předpisy.</t>
  </si>
  <si>
    <t>Výše uvedené částky musí bez výhrady odpovídat příslušným řádkům v ISKP21+.</t>
  </si>
  <si>
    <t>Tuto částku přepište dle investice a neinvestice do řádků 1.1.1.1 a 1.1.1.2 rozpočtu projektu v ISKP21+.</t>
  </si>
  <si>
    <t>Tuto částku přepište dle investice a neinvestice do řádků 1.1.3 a 1.1.4  rozpočtu projektu v ISKP21+.</t>
  </si>
  <si>
    <t>Tuto částku přepište dle investice a neinvestice do řádků 1.2.5 a 1.2.6  rozpočtu projektu v ISKP21+.</t>
  </si>
  <si>
    <t xml:space="preserve"> více Opatření na projektu?</t>
  </si>
  <si>
    <t xml:space="preserve"> více Aktivit na projektu?</t>
  </si>
  <si>
    <t xml:space="preserve"> více Podaktivit na projektu?</t>
  </si>
  <si>
    <t>Malý podnik</t>
  </si>
  <si>
    <t>ISKP Nezpůsobilé inv. a neinv. náklady bez ohledu na VP (řádky 1.2.5 a 1.2.6)</t>
  </si>
  <si>
    <t>ISKP Přímé inv. a neinv. náklady do limitu PS bez VP či VP s výpočtem paušálu (řádky 1.1.1.1 + 1.1.1.2)</t>
  </si>
  <si>
    <t>ISKP Přímé inv. a neinv. náklady nad limit PS bez VP či VP s výpočtem paušálu nebo Přímé inv. a neinv. náklady s VP bez  výpočtu paušálu (řádky 1.1.3 a 1.1.4)</t>
  </si>
  <si>
    <t>Paušální sazba (bez VP či VP s výpočtem paušálu)</t>
  </si>
  <si>
    <t>"Projektová příprava" dle skutečných nákladů s limitem dle PS pro VP</t>
  </si>
  <si>
    <t>5% nad 10 mil</t>
  </si>
  <si>
    <t>7% do 10 mil</t>
  </si>
  <si>
    <t>SC 1.3, 1.6</t>
  </si>
  <si>
    <t>Editujte pouze zelená pole nebo použijte výběrová tlačítka</t>
  </si>
  <si>
    <t>Osobní náklady</t>
  </si>
  <si>
    <t>DPH neuznatelné = Jsem plátce DPH a mám nárok na odpočet DPH ve vztahu k aktivitám projektu</t>
  </si>
  <si>
    <t>Stavební náklady, dodávky a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</si>
</sst>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rgb="FF414042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16" fontId="0" fillId="0" borderId="0" xfId="0" applyNumberFormat="1"/>
    <xf numFmtId="16" fontId="0" fillId="5" borderId="0" xfId="0" applyNumberFormat="1" applyFill="1"/>
    <xf numFmtId="0" fontId="0" fillId="6" borderId="0" xfId="0" applyFill="1"/>
    <xf numFmtId="4" fontId="0" fillId="0" borderId="0" xfId="0" applyNumberFormat="1"/>
    <xf numFmtId="0" fontId="0" fillId="8" borderId="0" xfId="0" applyFill="1"/>
    <xf numFmtId="0" fontId="0" fillId="7" borderId="0" xfId="0" applyFill="1"/>
    <xf numFmtId="0" fontId="0" fillId="10" borderId="0" xfId="0" applyFill="1"/>
    <xf numFmtId="0" fontId="0" fillId="11" borderId="0" xfId="0" applyFill="1"/>
    <xf numFmtId="16" fontId="0" fillId="8" borderId="0" xfId="0" applyNumberFormat="1" applyFill="1"/>
    <xf numFmtId="16" fontId="0" fillId="4" borderId="0" xfId="0" applyNumberFormat="1" applyFill="1"/>
    <xf numFmtId="0" fontId="0" fillId="13" borderId="0" xfId="0" applyFill="1"/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0" fillId="0" borderId="4" xfId="0" applyBorder="1"/>
    <xf numFmtId="0" fontId="0" fillId="0" borderId="44" xfId="0" applyBorder="1"/>
    <xf numFmtId="0" fontId="0" fillId="0" borderId="5" xfId="0" applyBorder="1"/>
    <xf numFmtId="0" fontId="15" fillId="8" borderId="0" xfId="0" applyFont="1" applyFill="1" applyAlignment="1" applyProtection="1">
      <alignment horizontal="right" vertical="center"/>
      <protection hidden="1"/>
    </xf>
    <xf numFmtId="0" fontId="15" fillId="8" borderId="0" xfId="0" applyFont="1" applyFill="1" applyAlignment="1" applyProtection="1">
      <alignment vertical="center"/>
      <protection hidden="1"/>
    </xf>
    <xf numFmtId="0" fontId="17" fillId="8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lef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left" vertical="center" wrapText="1"/>
    </xf>
    <xf numFmtId="0" fontId="0" fillId="8" borderId="46" xfId="0" applyFill="1" applyBorder="1" applyAlignment="1">
      <alignment horizontal="center" vertical="center"/>
    </xf>
    <xf numFmtId="4" fontId="0" fillId="0" borderId="47" xfId="0" applyNumberFormat="1" applyBorder="1" applyAlignment="1">
      <alignment horizontal="left" vertical="center" wrapText="1"/>
    </xf>
    <xf numFmtId="0" fontId="0" fillId="8" borderId="48" xfId="0" applyFill="1" applyBorder="1" applyAlignment="1">
      <alignment horizontal="center" vertical="center"/>
    </xf>
    <xf numFmtId="4" fontId="0" fillId="0" borderId="49" xfId="0" applyNumberFormat="1" applyBorder="1" applyAlignment="1">
      <alignment horizontal="left" vertical="center" wrapText="1"/>
    </xf>
    <xf numFmtId="0" fontId="0" fillId="8" borderId="50" xfId="0" applyFill="1" applyBorder="1" applyAlignment="1">
      <alignment horizontal="center" vertical="center"/>
    </xf>
    <xf numFmtId="4" fontId="0" fillId="0" borderId="51" xfId="0" applyNumberFormat="1" applyBorder="1" applyAlignment="1">
      <alignment horizontal="left" vertical="center" wrapText="1"/>
    </xf>
    <xf numFmtId="0" fontId="10" fillId="8" borderId="46" xfId="0" applyFont="1" applyFill="1" applyBorder="1" applyAlignment="1">
      <alignment horizontal="center" vertical="center" wrapText="1"/>
    </xf>
    <xf numFmtId="0" fontId="10" fillId="8" borderId="50" xfId="0" applyFont="1" applyFill="1" applyBorder="1" applyAlignment="1">
      <alignment horizontal="center" vertical="center" wrapText="1"/>
    </xf>
    <xf numFmtId="0" fontId="10" fillId="8" borderId="52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left" vertical="center" wrapText="1"/>
    </xf>
    <xf numFmtId="0" fontId="10" fillId="8" borderId="48" xfId="0" applyFont="1" applyFill="1" applyBorder="1" applyAlignment="1">
      <alignment horizontal="center" vertical="center" wrapText="1"/>
    </xf>
    <xf numFmtId="0" fontId="10" fillId="8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left" vertical="center" wrapText="1"/>
    </xf>
    <xf numFmtId="0" fontId="0" fillId="0" borderId="52" xfId="0" applyBorder="1" applyAlignment="1">
      <alignment horizontal="center" vertical="center" wrapText="1"/>
    </xf>
    <xf numFmtId="0" fontId="0" fillId="8" borderId="0" xfId="0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vertical="center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4" fillId="8" borderId="0" xfId="0" applyFont="1" applyFill="1" applyAlignment="1" applyProtection="1">
      <alignment vertical="center" wrapText="1"/>
      <protection hidden="1"/>
    </xf>
    <xf numFmtId="0" fontId="0" fillId="8" borderId="0" xfId="0" applyFill="1" applyAlignment="1" applyProtection="1">
      <alignment vertical="center" wrapText="1"/>
      <protection hidden="1"/>
    </xf>
    <xf numFmtId="0" fontId="5" fillId="8" borderId="0" xfId="0" applyFont="1" applyFill="1" applyAlignment="1" applyProtection="1">
      <alignment vertical="center" wrapText="1"/>
      <protection hidden="1"/>
    </xf>
    <xf numFmtId="0" fontId="3" fillId="8" borderId="0" xfId="0" applyFont="1" applyFill="1" applyAlignment="1" applyProtection="1">
      <alignment vertical="center"/>
      <protection hidden="1"/>
    </xf>
    <xf numFmtId="0" fontId="1" fillId="8" borderId="13" xfId="0" applyFont="1" applyFill="1" applyBorder="1" applyAlignment="1" applyProtection="1">
      <alignment vertical="center" wrapText="1"/>
      <protection hidden="1"/>
    </xf>
    <xf numFmtId="0" fontId="1" fillId="8" borderId="16" xfId="0" applyFont="1" applyFill="1" applyBorder="1" applyAlignment="1" applyProtection="1">
      <alignment vertical="center" wrapText="1"/>
      <protection hidden="1"/>
    </xf>
    <xf numFmtId="0" fontId="4" fillId="8" borderId="0" xfId="0" applyFont="1" applyFill="1" applyAlignment="1" applyProtection="1">
      <alignment vertical="center"/>
      <protection hidden="1"/>
    </xf>
    <xf numFmtId="0" fontId="1" fillId="8" borderId="19" xfId="0" applyFont="1" applyFill="1" applyBorder="1" applyAlignment="1" applyProtection="1">
      <alignment vertical="center" wrapText="1"/>
      <protection hidden="1"/>
    </xf>
    <xf numFmtId="0" fontId="1" fillId="8" borderId="20" xfId="0" applyFont="1" applyFill="1" applyBorder="1" applyAlignment="1" applyProtection="1">
      <alignment vertical="center" wrapText="1"/>
      <protection hidden="1"/>
    </xf>
    <xf numFmtId="0" fontId="0" fillId="8" borderId="45" xfId="0" applyFill="1" applyBorder="1" applyAlignment="1" applyProtection="1">
      <alignment vertical="center"/>
      <protection hidden="1"/>
    </xf>
    <xf numFmtId="0" fontId="1" fillId="8" borderId="21" xfId="0" applyFont="1" applyFill="1" applyBorder="1" applyAlignment="1" applyProtection="1">
      <alignment vertical="center" wrapText="1"/>
      <protection hidden="1"/>
    </xf>
    <xf numFmtId="0" fontId="1" fillId="8" borderId="0" xfId="0" applyFont="1" applyFill="1" applyAlignment="1" applyProtection="1">
      <alignment vertical="center" wrapText="1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vertical="center" wrapText="1"/>
      <protection hidden="1"/>
    </xf>
    <xf numFmtId="0" fontId="0" fillId="8" borderId="22" xfId="0" applyFill="1" applyBorder="1" applyAlignment="1" applyProtection="1">
      <alignment vertical="center"/>
      <protection hidden="1"/>
    </xf>
    <xf numFmtId="0" fontId="0" fillId="8" borderId="23" xfId="0" applyFill="1" applyBorder="1" applyAlignment="1" applyProtection="1">
      <alignment horizontal="center" vertical="center" wrapText="1"/>
      <protection hidden="1"/>
    </xf>
    <xf numFmtId="0" fontId="0" fillId="8" borderId="24" xfId="0" applyFill="1" applyBorder="1" applyAlignment="1" applyProtection="1">
      <alignment horizontal="center" vertical="center" wrapText="1"/>
      <protection hidden="1"/>
    </xf>
    <xf numFmtId="0" fontId="0" fillId="8" borderId="25" xfId="0" applyFill="1" applyBorder="1" applyAlignment="1" applyProtection="1">
      <alignment horizontal="center" vertical="center" wrapText="1"/>
      <protection hidden="1"/>
    </xf>
    <xf numFmtId="0" fontId="0" fillId="8" borderId="22" xfId="0" applyFill="1" applyBorder="1" applyAlignment="1" applyProtection="1">
      <alignment horizontal="center" vertical="center" wrapText="1"/>
      <protection hidden="1"/>
    </xf>
    <xf numFmtId="0" fontId="0" fillId="8" borderId="26" xfId="0" applyFill="1" applyBorder="1" applyAlignment="1" applyProtection="1">
      <alignment horizontal="center" vertical="center" wrapText="1"/>
      <protection hidden="1"/>
    </xf>
    <xf numFmtId="4" fontId="0" fillId="8" borderId="9" xfId="0" applyNumberFormat="1" applyFill="1" applyBorder="1" applyAlignment="1" applyProtection="1">
      <alignment horizontal="center" vertical="center" wrapText="1"/>
      <protection hidden="1"/>
    </xf>
    <xf numFmtId="4" fontId="0" fillId="8" borderId="11" xfId="0" applyNumberFormat="1" applyFill="1" applyBorder="1" applyAlignment="1" applyProtection="1">
      <alignment horizontal="center" vertical="center" wrapText="1"/>
      <protection hidden="1"/>
    </xf>
    <xf numFmtId="4" fontId="0" fillId="8" borderId="28" xfId="0" applyNumberFormat="1" applyFill="1" applyBorder="1" applyAlignment="1" applyProtection="1">
      <alignment horizontal="center" vertical="center" wrapText="1"/>
      <protection hidden="1"/>
    </xf>
    <xf numFmtId="4" fontId="0" fillId="8" borderId="10" xfId="0" applyNumberFormat="1" applyFill="1" applyBorder="1" applyAlignment="1" applyProtection="1">
      <alignment horizontal="center" vertical="center" wrapText="1"/>
      <protection hidden="1"/>
    </xf>
    <xf numFmtId="4" fontId="0" fillId="8" borderId="12" xfId="0" applyNumberFormat="1" applyFill="1" applyBorder="1" applyAlignment="1" applyProtection="1">
      <alignment horizontal="center" vertical="center" wrapText="1"/>
      <protection hidden="1"/>
    </xf>
    <xf numFmtId="4" fontId="0" fillId="8" borderId="29" xfId="0" applyNumberFormat="1" applyFill="1" applyBorder="1" applyAlignment="1" applyProtection="1">
      <alignment horizontal="center" vertical="center" wrapText="1"/>
      <protection hidden="1"/>
    </xf>
    <xf numFmtId="4" fontId="0" fillId="8" borderId="0" xfId="0" applyNumberFormat="1" applyFill="1" applyAlignment="1" applyProtection="1">
      <alignment horizontal="center" vertical="center" wrapText="1"/>
      <protection hidden="1"/>
    </xf>
    <xf numFmtId="4" fontId="0" fillId="8" borderId="30" xfId="0" applyNumberFormat="1" applyFill="1" applyBorder="1" applyAlignment="1" applyProtection="1">
      <alignment horizontal="center" vertical="center" wrapText="1"/>
      <protection hidden="1"/>
    </xf>
    <xf numFmtId="4" fontId="0" fillId="8" borderId="31" xfId="0" applyNumberFormat="1" applyFill="1" applyBorder="1" applyAlignment="1" applyProtection="1">
      <alignment horizontal="center" vertical="center" wrapText="1"/>
      <protection hidden="1"/>
    </xf>
    <xf numFmtId="4" fontId="0" fillId="8" borderId="32" xfId="0" applyNumberFormat="1" applyFill="1" applyBorder="1" applyAlignment="1" applyProtection="1">
      <alignment horizontal="center" vertical="center" wrapText="1"/>
      <protection hidden="1"/>
    </xf>
    <xf numFmtId="0" fontId="0" fillId="8" borderId="33" xfId="0" applyFill="1" applyBorder="1" applyAlignment="1" applyProtection="1">
      <alignment vertical="center"/>
      <protection hidden="1"/>
    </xf>
    <xf numFmtId="4" fontId="0" fillId="8" borderId="35" xfId="0" applyNumberFormat="1" applyFill="1" applyBorder="1" applyAlignment="1" applyProtection="1">
      <alignment horizontal="center" vertical="center"/>
      <protection hidden="1"/>
    </xf>
    <xf numFmtId="4" fontId="0" fillId="8" borderId="34" xfId="0" applyNumberFormat="1" applyFill="1" applyBorder="1" applyAlignment="1" applyProtection="1">
      <alignment horizontal="center" vertical="center"/>
      <protection hidden="1"/>
    </xf>
    <xf numFmtId="0" fontId="0" fillId="8" borderId="34" xfId="0" applyFill="1" applyBorder="1" applyAlignment="1" applyProtection="1">
      <alignment horizontal="center" vertical="center"/>
      <protection hidden="1"/>
    </xf>
    <xf numFmtId="4" fontId="0" fillId="9" borderId="36" xfId="0" applyNumberFormat="1" applyFill="1" applyBorder="1" applyAlignment="1" applyProtection="1">
      <alignment horizontal="center" vertical="center"/>
      <protection hidden="1"/>
    </xf>
    <xf numFmtId="49" fontId="0" fillId="9" borderId="0" xfId="0" applyNumberFormat="1" applyFill="1" applyAlignment="1" applyProtection="1">
      <alignment horizontal="left" vertical="center" wrapText="1"/>
      <protection hidden="1"/>
    </xf>
    <xf numFmtId="4" fontId="0" fillId="7" borderId="0" xfId="0" applyNumberFormat="1" applyFill="1" applyAlignment="1" applyProtection="1">
      <alignment horizontal="center" vertical="center" wrapText="1"/>
      <protection hidden="1"/>
    </xf>
    <xf numFmtId="49" fontId="0" fillId="7" borderId="0" xfId="0" applyNumberFormat="1" applyFill="1" applyAlignment="1" applyProtection="1">
      <alignment vertical="center"/>
      <protection hidden="1"/>
    </xf>
    <xf numFmtId="4" fontId="15" fillId="8" borderId="0" xfId="0" applyNumberFormat="1" applyFont="1" applyFill="1" applyAlignment="1" applyProtection="1">
      <alignment horizontal="center" vertical="center"/>
      <protection hidden="1"/>
    </xf>
    <xf numFmtId="4" fontId="15" fillId="8" borderId="0" xfId="0" applyNumberFormat="1" applyFont="1" applyFill="1" applyAlignment="1" applyProtection="1">
      <alignment horizontal="center" vertical="center" wrapText="1"/>
      <protection hidden="1"/>
    </xf>
    <xf numFmtId="0" fontId="3" fillId="8" borderId="37" xfId="0" applyFont="1" applyFill="1" applyBorder="1" applyAlignment="1" applyProtection="1">
      <alignment horizontal="center" vertical="center"/>
      <protection hidden="1"/>
    </xf>
    <xf numFmtId="0" fontId="3" fillId="8" borderId="35" xfId="0" applyFont="1" applyFill="1" applyBorder="1" applyAlignment="1" applyProtection="1">
      <alignment vertical="center" wrapText="1"/>
      <protection hidden="1"/>
    </xf>
    <xf numFmtId="4" fontId="3" fillId="8" borderId="36" xfId="0" applyNumberFormat="1" applyFont="1" applyFill="1" applyBorder="1" applyAlignment="1" applyProtection="1">
      <alignment horizontal="center" vertical="center" wrapText="1"/>
      <protection hidden="1"/>
    </xf>
    <xf numFmtId="4" fontId="15" fillId="8" borderId="0" xfId="0" applyNumberFormat="1" applyFont="1" applyFill="1" applyAlignment="1" applyProtection="1">
      <alignment vertical="center"/>
      <protection hidden="1"/>
    </xf>
    <xf numFmtId="0" fontId="0" fillId="8" borderId="6" xfId="0" applyFill="1" applyBorder="1" applyAlignment="1" applyProtection="1">
      <alignment horizontal="center" vertical="center" wrapText="1"/>
      <protection hidden="1"/>
    </xf>
    <xf numFmtId="0" fontId="0" fillId="8" borderId="5" xfId="0" applyFill="1" applyBorder="1" applyAlignment="1" applyProtection="1">
      <alignment vertical="center" wrapText="1"/>
      <protection hidden="1"/>
    </xf>
    <xf numFmtId="4" fontId="0" fillId="8" borderId="6" xfId="0" applyNumberFormat="1" applyFill="1" applyBorder="1" applyAlignment="1" applyProtection="1">
      <alignment horizontal="center" vertical="center" wrapText="1"/>
      <protection hidden="1"/>
    </xf>
    <xf numFmtId="4" fontId="0" fillId="8" borderId="5" xfId="0" applyNumberFormat="1" applyFill="1" applyBorder="1" applyAlignment="1" applyProtection="1">
      <alignment horizontal="center" vertical="center" wrapText="1"/>
      <protection hidden="1"/>
    </xf>
    <xf numFmtId="4" fontId="0" fillId="8" borderId="7" xfId="0" applyNumberFormat="1" applyFill="1" applyBorder="1" applyAlignment="1" applyProtection="1">
      <alignment horizontal="center" vertical="center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0" fillId="8" borderId="39" xfId="0" applyFill="1" applyBorder="1" applyAlignment="1" applyProtection="1">
      <alignment vertical="center"/>
      <protection hidden="1"/>
    </xf>
    <xf numFmtId="164" fontId="0" fillId="8" borderId="26" xfId="0" applyNumberFormat="1" applyFill="1" applyBorder="1" applyAlignment="1" applyProtection="1">
      <alignment horizontal="center" vertical="center"/>
      <protection hidden="1"/>
    </xf>
    <xf numFmtId="0" fontId="10" fillId="8" borderId="0" xfId="0" applyFont="1" applyFill="1" applyAlignment="1" applyProtection="1">
      <alignment vertical="center" wrapText="1"/>
      <protection hidden="1"/>
    </xf>
    <xf numFmtId="0" fontId="0" fillId="8" borderId="27" xfId="0" applyFill="1" applyBorder="1" applyAlignment="1" applyProtection="1">
      <alignment vertical="center"/>
      <protection hidden="1"/>
    </xf>
    <xf numFmtId="164" fontId="0" fillId="8" borderId="40" xfId="0" applyNumberFormat="1" applyFill="1" applyBorder="1" applyAlignment="1" applyProtection="1">
      <alignment horizontal="center" vertical="center"/>
      <protection hidden="1"/>
    </xf>
    <xf numFmtId="4" fontId="0" fillId="8" borderId="0" xfId="0" applyNumberFormat="1" applyFill="1" applyAlignment="1" applyProtection="1">
      <alignment horizontal="center" vertical="center"/>
      <protection hidden="1"/>
    </xf>
    <xf numFmtId="4" fontId="0" fillId="8" borderId="39" xfId="0" applyNumberFormat="1" applyFill="1" applyBorder="1" applyAlignment="1" applyProtection="1">
      <alignment vertical="center"/>
      <protection hidden="1"/>
    </xf>
    <xf numFmtId="4" fontId="0" fillId="8" borderId="24" xfId="0" applyNumberFormat="1" applyFill="1" applyBorder="1" applyAlignment="1" applyProtection="1">
      <alignment vertical="center"/>
      <protection hidden="1"/>
    </xf>
    <xf numFmtId="0" fontId="0" fillId="8" borderId="26" xfId="0" applyFill="1" applyBorder="1" applyAlignment="1" applyProtection="1">
      <alignment horizontal="center" vertical="center"/>
      <protection hidden="1"/>
    </xf>
    <xf numFmtId="0" fontId="0" fillId="8" borderId="41" xfId="0" applyFill="1" applyBorder="1" applyAlignment="1" applyProtection="1">
      <alignment vertical="center"/>
      <protection hidden="1"/>
    </xf>
    <xf numFmtId="164" fontId="0" fillId="8" borderId="42" xfId="0" applyNumberFormat="1" applyFill="1" applyBorder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right"/>
      <protection hidden="1"/>
    </xf>
    <xf numFmtId="0" fontId="12" fillId="8" borderId="0" xfId="0" applyFont="1" applyFill="1" applyAlignment="1" applyProtection="1">
      <alignment horizontal="center"/>
      <protection hidden="1"/>
    </xf>
    <xf numFmtId="0" fontId="12" fillId="8" borderId="0" xfId="0" applyFont="1" applyFill="1" applyAlignment="1" applyProtection="1">
      <alignment vertical="center"/>
      <protection hidden="1"/>
    </xf>
    <xf numFmtId="0" fontId="15" fillId="8" borderId="0" xfId="0" applyFont="1" applyFill="1" applyAlignment="1" applyProtection="1">
      <alignment vertical="center"/>
      <protection locked="0"/>
    </xf>
    <xf numFmtId="0" fontId="3" fillId="8" borderId="0" xfId="0" applyFont="1" applyFill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0" fillId="12" borderId="0" xfId="0" applyFill="1" applyAlignment="1">
      <alignment vertical="center"/>
    </xf>
    <xf numFmtId="0" fontId="0" fillId="12" borderId="0" xfId="0" applyFill="1"/>
    <xf numFmtId="0" fontId="0" fillId="0" borderId="0" xfId="0" applyAlignment="1">
      <alignment horizontal="center"/>
    </xf>
    <xf numFmtId="0" fontId="0" fillId="8" borderId="12" xfId="0" applyFill="1" applyBorder="1" applyAlignment="1" applyProtection="1">
      <alignment vertical="center"/>
      <protection hidden="1"/>
    </xf>
    <xf numFmtId="0" fontId="0" fillId="12" borderId="31" xfId="0" applyFill="1" applyBorder="1" applyAlignment="1" applyProtection="1">
      <alignment vertical="center" wrapText="1"/>
      <protection hidden="1"/>
    </xf>
    <xf numFmtId="0" fontId="8" fillId="8" borderId="39" xfId="0" applyFont="1" applyFill="1" applyBorder="1" applyAlignment="1" applyProtection="1">
      <alignment vertical="center" wrapText="1"/>
      <protection hidden="1"/>
    </xf>
    <xf numFmtId="0" fontId="0" fillId="8" borderId="26" xfId="0" applyFill="1" applyBorder="1" applyAlignment="1" applyProtection="1">
      <alignment vertical="center"/>
      <protection hidden="1"/>
    </xf>
    <xf numFmtId="4" fontId="18" fillId="8" borderId="0" xfId="0" applyNumberFormat="1" applyFont="1" applyFill="1" applyAlignment="1" applyProtection="1">
      <alignment vertical="center"/>
      <protection hidden="1"/>
    </xf>
    <xf numFmtId="0" fontId="0" fillId="8" borderId="40" xfId="0" applyFill="1" applyBorder="1" applyAlignment="1" applyProtection="1">
      <alignment vertical="center"/>
      <protection hidden="1"/>
    </xf>
    <xf numFmtId="165" fontId="1" fillId="8" borderId="66" xfId="0" applyNumberFormat="1" applyFont="1" applyFill="1" applyBorder="1" applyAlignment="1" applyProtection="1">
      <alignment vertical="center"/>
      <protection hidden="1"/>
    </xf>
    <xf numFmtId="165" fontId="1" fillId="8" borderId="42" xfId="0" applyNumberFormat="1" applyFont="1" applyFill="1" applyBorder="1" applyAlignment="1" applyProtection="1">
      <alignment vertical="center"/>
      <protection hidden="1"/>
    </xf>
    <xf numFmtId="0" fontId="18" fillId="8" borderId="0" xfId="0" applyFont="1" applyFill="1" applyAlignment="1" applyProtection="1">
      <alignment vertical="center"/>
      <protection hidden="1"/>
    </xf>
    <xf numFmtId="0" fontId="19" fillId="8" borderId="0" xfId="0" applyFont="1" applyFill="1" applyAlignment="1" applyProtection="1">
      <alignment vertical="center"/>
      <protection hidden="1"/>
    </xf>
    <xf numFmtId="4" fontId="18" fillId="8" borderId="0" xfId="0" applyNumberFormat="1" applyFont="1" applyFill="1" applyAlignment="1" applyProtection="1">
      <alignment horizontal="center" vertical="center" wrapText="1"/>
      <protection hidden="1"/>
    </xf>
    <xf numFmtId="165" fontId="1" fillId="8" borderId="64" xfId="0" applyNumberFormat="1" applyFont="1" applyFill="1" applyBorder="1" applyAlignment="1" applyProtection="1">
      <alignment vertical="center" wrapText="1"/>
      <protection hidden="1"/>
    </xf>
    <xf numFmtId="0" fontId="0" fillId="8" borderId="45" xfId="0" applyFill="1" applyBorder="1" applyAlignment="1" applyProtection="1">
      <alignment horizontal="left" vertical="center"/>
      <protection hidden="1"/>
    </xf>
    <xf numFmtId="0" fontId="0" fillId="0" borderId="54" xfId="0" applyBorder="1" applyAlignment="1">
      <alignment horizontal="center" vertical="center" wrapText="1"/>
    </xf>
    <xf numFmtId="4" fontId="0" fillId="0" borderId="55" xfId="0" applyNumberFormat="1" applyBorder="1" applyAlignment="1">
      <alignment horizontal="left" vertical="center" wrapText="1"/>
    </xf>
    <xf numFmtId="0" fontId="10" fillId="14" borderId="48" xfId="0" applyFont="1" applyFill="1" applyBorder="1" applyAlignment="1">
      <alignment horizontal="center" vertical="center" wrapText="1"/>
    </xf>
    <xf numFmtId="0" fontId="0" fillId="14" borderId="49" xfId="0" applyFill="1" applyBorder="1" applyAlignment="1">
      <alignment horizontal="left" vertical="center" wrapText="1"/>
    </xf>
    <xf numFmtId="4" fontId="0" fillId="2" borderId="30" xfId="0" applyNumberFormat="1" applyFill="1" applyBorder="1" applyAlignment="1" applyProtection="1">
      <alignment horizontal="center" vertical="center" wrapText="1"/>
      <protection locked="0"/>
    </xf>
    <xf numFmtId="4" fontId="0" fillId="2" borderId="31" xfId="0" applyNumberFormat="1" applyFill="1" applyBorder="1" applyAlignment="1" applyProtection="1">
      <alignment horizontal="center" vertical="center" wrapText="1"/>
      <protection locked="0"/>
    </xf>
    <xf numFmtId="4" fontId="0" fillId="2" borderId="9" xfId="0" applyNumberFormat="1" applyFill="1" applyBorder="1" applyAlignment="1" applyProtection="1">
      <alignment horizontal="center" vertical="center" wrapText="1"/>
      <protection locked="0"/>
    </xf>
    <xf numFmtId="4" fontId="0" fillId="2" borderId="10" xfId="0" applyNumberFormat="1" applyFill="1" applyBorder="1" applyAlignment="1" applyProtection="1">
      <alignment horizontal="center" vertical="center" wrapText="1"/>
      <protection locked="0"/>
    </xf>
    <xf numFmtId="4" fontId="0" fillId="2" borderId="11" xfId="0" applyNumberFormat="1" applyFill="1" applyBorder="1" applyAlignment="1" applyProtection="1">
      <alignment horizontal="center" vertical="center" wrapText="1"/>
      <protection locked="0"/>
    </xf>
    <xf numFmtId="4" fontId="0" fillId="2" borderId="12" xfId="0" applyNumberFormat="1" applyFill="1" applyBorder="1" applyAlignment="1" applyProtection="1">
      <alignment horizontal="center" vertical="center" wrapText="1"/>
      <protection locked="0"/>
    </xf>
    <xf numFmtId="4" fontId="0" fillId="2" borderId="5" xfId="0" applyNumberFormat="1" applyFill="1" applyBorder="1" applyAlignment="1" applyProtection="1">
      <alignment horizontal="center" vertical="center" wrapText="1"/>
      <protection locked="0"/>
    </xf>
    <xf numFmtId="4" fontId="0" fillId="2" borderId="8" xfId="0" applyNumberForma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14" fontId="12" fillId="2" borderId="0" xfId="0" applyNumberFormat="1" applyFont="1" applyFill="1" applyProtection="1">
      <protection locked="0"/>
    </xf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72" xfId="0" applyBorder="1"/>
    <xf numFmtId="0" fontId="0" fillId="0" borderId="73" xfId="0" applyBorder="1"/>
    <xf numFmtId="0" fontId="0" fillId="9" borderId="67" xfId="0" applyFill="1" applyBorder="1"/>
    <xf numFmtId="0" fontId="0" fillId="9" borderId="31" xfId="0" applyFill="1" applyBorder="1"/>
    <xf numFmtId="0" fontId="0" fillId="0" borderId="31" xfId="0" applyBorder="1"/>
    <xf numFmtId="0" fontId="0" fillId="12" borderId="71" xfId="0" applyFill="1" applyBorder="1"/>
    <xf numFmtId="0" fontId="0" fillId="12" borderId="69" xfId="0" applyFill="1" applyBorder="1"/>
    <xf numFmtId="0" fontId="1" fillId="6" borderId="45" xfId="0" applyFont="1" applyFill="1" applyBorder="1"/>
    <xf numFmtId="0" fontId="0" fillId="8" borderId="11" xfId="0" applyFill="1" applyBorder="1" applyAlignment="1">
      <alignment vertical="center"/>
    </xf>
    <xf numFmtId="0" fontId="0" fillId="8" borderId="12" xfId="0" applyFill="1" applyBorder="1" applyAlignment="1">
      <alignment vertical="center"/>
    </xf>
    <xf numFmtId="0" fontId="0" fillId="8" borderId="23" xfId="0" applyFill="1" applyBorder="1" applyAlignment="1">
      <alignment horizontal="center" vertical="center" wrapText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20" fillId="8" borderId="0" xfId="0" applyFont="1" applyFill="1" applyAlignment="1" applyProtection="1">
      <alignment horizontal="center" vertical="center" wrapText="1"/>
      <protection hidden="1"/>
    </xf>
    <xf numFmtId="0" fontId="10" fillId="8" borderId="0" xfId="0" applyFont="1" applyFill="1" applyAlignment="1" applyProtection="1">
      <alignment horizontal="center" vertical="center" wrapText="1"/>
      <protection hidden="1"/>
    </xf>
    <xf numFmtId="0" fontId="2" fillId="8" borderId="0" xfId="0" applyFont="1" applyFill="1" applyAlignment="1" applyProtection="1">
      <alignment horizontal="center" vertical="center"/>
      <protection hidden="1"/>
    </xf>
    <xf numFmtId="0" fontId="4" fillId="8" borderId="0" xfId="0" applyFont="1" applyFill="1" applyAlignment="1" applyProtection="1">
      <alignment horizontal="center" vertical="center" wrapText="1"/>
      <protection hidden="1"/>
    </xf>
    <xf numFmtId="0" fontId="0" fillId="8" borderId="56" xfId="0" applyFill="1" applyBorder="1" applyAlignment="1" applyProtection="1">
      <alignment horizontal="center" vertical="center"/>
      <protection hidden="1"/>
    </xf>
    <xf numFmtId="0" fontId="0" fillId="8" borderId="57" xfId="0" applyFill="1" applyBorder="1" applyAlignment="1" applyProtection="1">
      <alignment horizontal="center" vertical="center"/>
      <protection hidden="1"/>
    </xf>
    <xf numFmtId="0" fontId="0" fillId="8" borderId="58" xfId="0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1" fillId="0" borderId="61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6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4" fillId="2" borderId="27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40" xfId="0" applyFont="1" applyFill="1" applyBorder="1" applyAlignment="1" applyProtection="1">
      <alignment horizontal="left" vertical="top" wrapText="1"/>
      <protection locked="0"/>
    </xf>
    <xf numFmtId="0" fontId="4" fillId="2" borderId="41" xfId="0" applyFont="1" applyFill="1" applyBorder="1" applyAlignment="1" applyProtection="1">
      <alignment horizontal="left" vertical="top" wrapText="1"/>
      <protection locked="0"/>
    </xf>
    <xf numFmtId="0" fontId="4" fillId="2" borderId="43" xfId="0" applyFont="1" applyFill="1" applyBorder="1" applyAlignment="1" applyProtection="1">
      <alignment horizontal="left" vertical="top" wrapText="1"/>
      <protection locked="0"/>
    </xf>
    <xf numFmtId="0" fontId="4" fillId="2" borderId="42" xfId="0" applyFont="1" applyFill="1" applyBorder="1" applyAlignment="1" applyProtection="1">
      <alignment horizontal="left" vertical="top" wrapText="1"/>
      <protection locked="0"/>
    </xf>
    <xf numFmtId="4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4" fontId="11" fillId="3" borderId="38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16"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  <color theme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rgb="FFF77187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1"/>
      </font>
      <fill>
        <patternFill>
          <bgColor theme="5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0000"/>
      <color rgb="FFF77187"/>
      <color rgb="FFFFFFFF"/>
      <color rgb="FFE87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zdroj!$C$1" fmlaRange="zdroj!$D$1:$D$7" noThreeD="1" sel="1" val="0"/>
</file>

<file path=xl/ctrlProps/ctrlProp10.xml><?xml version="1.0" encoding="utf-8"?>
<formControlPr xmlns="http://schemas.microsoft.com/office/spreadsheetml/2009/9/main" objectType="CheckBox" fmlaLink="zdroj!$B$58" lockText="1" noThreeD="1"/>
</file>

<file path=xl/ctrlProps/ctrlProp2.xml><?xml version="1.0" encoding="utf-8"?>
<formControlPr xmlns="http://schemas.microsoft.com/office/spreadsheetml/2009/9/main" objectType="Drop" dropStyle="combo" dx="16" fmlaLink="zdroj!$C$10" fmlaRange="zdroj!$D$10:$D$20" noThreeD="1" sel="1" val="0"/>
</file>

<file path=xl/ctrlProps/ctrlProp3.xml><?xml version="1.0" encoding="utf-8"?>
<formControlPr xmlns="http://schemas.microsoft.com/office/spreadsheetml/2009/9/main" objectType="Drop" dropStyle="combo" dx="16" fmlaLink="zdroj!$B$24" fmlaRange="zdroj!$D$23:$D$27" noThreeD="1" sel="1" val="0"/>
</file>

<file path=xl/ctrlProps/ctrlProp4.xml><?xml version="1.0" encoding="utf-8"?>
<formControlPr xmlns="http://schemas.microsoft.com/office/spreadsheetml/2009/9/main" objectType="Drop" dropStyle="combo" dx="16" fmlaLink="zdroj!$L$47" fmlaRange="zdroj!$M$47:$M$50" noThreeD="1" sel="1" val="0"/>
</file>

<file path=xl/ctrlProps/ctrlProp5.xml><?xml version="1.0" encoding="utf-8"?>
<formControlPr xmlns="http://schemas.microsoft.com/office/spreadsheetml/2009/9/main" objectType="Drop" dropStyle="combo" dx="16" fmlaLink="zdroj!$P$2" fmlaRange="zdroj!$Q$2:$Q$21" noThreeD="1" sel="1" val="0"/>
</file>

<file path=xl/ctrlProps/ctrlProp6.xml><?xml version="1.0" encoding="utf-8"?>
<formControlPr xmlns="http://schemas.microsoft.com/office/spreadsheetml/2009/9/main" objectType="Drop" dropLines="4" dropStyle="combo" dx="16" fmlaLink="zdroj!$P$26" fmlaRange="zdroj!$Q$26:$Q$29" noThreeD="1" sel="4" val="0"/>
</file>

<file path=xl/ctrlProps/ctrlProp7.xml><?xml version="1.0" encoding="utf-8"?>
<formControlPr xmlns="http://schemas.microsoft.com/office/spreadsheetml/2009/9/main" objectType="Drop" dropStyle="combo" dx="16" fmlaLink="zdroj!$P$35" fmlaRange="zdroj!$Q$35:$Q$38" noThreeD="1" sel="1" val="0"/>
</file>

<file path=xl/ctrlProps/ctrlProp8.xml><?xml version="1.0" encoding="utf-8"?>
<formControlPr xmlns="http://schemas.microsoft.com/office/spreadsheetml/2009/9/main" objectType="CheckBox" fmlaLink="zdroj!$B$56" lockText="1" noThreeD="1"/>
</file>

<file path=xl/ctrlProps/ctrlProp9.xml><?xml version="1.0" encoding="utf-8"?>
<formControlPr xmlns="http://schemas.microsoft.com/office/spreadsheetml/2009/9/main" objectType="CheckBox" fmlaLink="zdroj!$B$5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6804</xdr:colOff>
          <xdr:row>6</xdr:row>
          <xdr:rowOff>107527</xdr:rowOff>
        </xdr:from>
        <xdr:to>
          <xdr:col>6</xdr:col>
          <xdr:colOff>9525</xdr:colOff>
          <xdr:row>14</xdr:row>
          <xdr:rowOff>9525</xdr:rowOff>
        </xdr:to>
        <xdr:grpSp>
          <xdr:nvGrpSpPr>
            <xdr:cNvPr id="7" name="Skupina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2079892" y="1687556"/>
              <a:ext cx="6154751" cy="1661322"/>
              <a:chOff x="2085975" y="1707729"/>
              <a:chExt cx="5079062" cy="1692695"/>
            </a:xfrm>
          </xdr:grpSpPr>
          <xdr:sp macro="" textlink="">
            <xdr:nvSpPr>
              <xdr:cNvPr id="1031" name="Drop Down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090109" y="1707729"/>
                <a:ext cx="5071670" cy="243631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4" name="Drop Down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086851" y="1945332"/>
                <a:ext cx="5078186" cy="247204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5" name="Drop Down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2086851" y="2186510"/>
                <a:ext cx="5078186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6" name="Drop Down 42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2086851" y="2425284"/>
                <a:ext cx="5078186" cy="2448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7" name="Drop Down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2086851" y="2664059"/>
                <a:ext cx="5078186" cy="249307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8" name="Drop Down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2085975" y="2905124"/>
                <a:ext cx="507682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9" name="Drop Down 45" hidden="1">
                <a:extLst>
                  <a:ext uri="{63B3BB69-23CF-44E3-9099-C40C66FF867C}">
                    <a14:compatExt spid="_x0000_s1069"/>
                  </a:ext>
                  <a:ext uri="{FF2B5EF4-FFF2-40B4-BE49-F238E27FC236}">
                    <a16:creationId xmlns:a16="http://schemas.microsoft.com/office/drawing/2014/main" id="{00000000-0008-0000-0000-00002D040000}"/>
                  </a:ext>
                </a:extLst>
              </xdr:cNvPr>
              <xdr:cNvSpPr/>
            </xdr:nvSpPr>
            <xdr:spPr bwMode="auto">
              <a:xfrm>
                <a:off x="2087531" y="3151988"/>
                <a:ext cx="5076825" cy="24843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2</xdr:col>
      <xdr:colOff>10255</xdr:colOff>
      <xdr:row>7</xdr:row>
      <xdr:rowOff>9114</xdr:rowOff>
    </xdr:from>
    <xdr:to>
      <xdr:col>6</xdr:col>
      <xdr:colOff>9525</xdr:colOff>
      <xdr:row>14</xdr:row>
      <xdr:rowOff>4330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86705" y="1714089"/>
          <a:ext cx="6914420" cy="1662091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1695450</xdr:colOff>
          <xdr:row>8</xdr:row>
          <xdr:rowOff>19050</xdr:rowOff>
        </xdr:from>
        <xdr:to>
          <xdr:col>7</xdr:col>
          <xdr:colOff>104775</xdr:colOff>
          <xdr:row>9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1695450</xdr:colOff>
          <xdr:row>9</xdr:row>
          <xdr:rowOff>9525</xdr:rowOff>
        </xdr:from>
        <xdr:to>
          <xdr:col>7</xdr:col>
          <xdr:colOff>104775</xdr:colOff>
          <xdr:row>10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1695450</xdr:colOff>
          <xdr:row>10</xdr:row>
          <xdr:rowOff>9525</xdr:rowOff>
        </xdr:from>
        <xdr:to>
          <xdr:col>7</xdr:col>
          <xdr:colOff>104775</xdr:colOff>
          <xdr:row>11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C00000"/>
    <pageSetUpPr fitToPage="1"/>
  </sheetPr>
  <dimension ref="B1:L75"/>
  <sheetViews>
    <sheetView tabSelected="1" topLeftCell="A2" zoomScale="85" zoomScaleNormal="85" workbookViewId="0">
      <selection activeCell="D27" sqref="D27"/>
    </sheetView>
  </sheetViews>
  <sheetFormatPr defaultColWidth="9.140625" defaultRowHeight="15" x14ac:dyDescent="0.25"/>
  <cols>
    <col min="1" max="1" width="3.5703125" style="48" customWidth="1"/>
    <col min="2" max="2" width="27.5703125" style="48" customWidth="1"/>
    <col min="3" max="3" width="36.42578125" style="48" bestFit="1" customWidth="1"/>
    <col min="4" max="4" width="20.140625" style="48" customWidth="1"/>
    <col min="5" max="5" width="16.28515625" style="48" customWidth="1"/>
    <col min="6" max="6" width="19.28515625" style="48" customWidth="1"/>
    <col min="7" max="7" width="28.42578125" style="48" customWidth="1"/>
    <col min="8" max="8" width="22.5703125" style="48" customWidth="1"/>
    <col min="9" max="9" width="29.42578125" style="48" customWidth="1"/>
    <col min="10" max="10" width="33.85546875" style="48" customWidth="1"/>
    <col min="11" max="11" width="9.140625" style="48" customWidth="1"/>
    <col min="12" max="12" width="12" style="48" customWidth="1"/>
    <col min="13" max="16384" width="9.140625" style="48"/>
  </cols>
  <sheetData>
    <row r="1" spans="2:12" ht="12.75" customHeight="1" x14ac:dyDescent="0.25"/>
    <row r="2" spans="2:12" ht="36" x14ac:dyDescent="0.25">
      <c r="B2" s="166" t="s">
        <v>0</v>
      </c>
      <c r="C2" s="166"/>
      <c r="D2" s="166"/>
      <c r="E2" s="166"/>
      <c r="F2" s="49"/>
      <c r="G2" s="49"/>
      <c r="H2" s="49"/>
      <c r="I2" s="49"/>
      <c r="J2" s="49"/>
      <c r="K2" s="49"/>
      <c r="L2" s="49"/>
    </row>
    <row r="3" spans="2:12" ht="33" customHeight="1" x14ac:dyDescent="0.25">
      <c r="B3" s="50"/>
      <c r="C3" s="51" t="s">
        <v>255</v>
      </c>
      <c r="D3" s="167" t="s">
        <v>123</v>
      </c>
      <c r="E3" s="167"/>
      <c r="F3" s="167"/>
      <c r="G3" s="52"/>
      <c r="H3" s="52"/>
      <c r="I3" s="50"/>
      <c r="J3" s="50"/>
      <c r="K3" s="50"/>
      <c r="L3" s="50"/>
    </row>
    <row r="4" spans="2:12" ht="4.5" customHeight="1" thickBot="1" x14ac:dyDescent="0.3">
      <c r="B4" s="53"/>
      <c r="C4" s="54"/>
      <c r="D4" s="54"/>
      <c r="E4" s="52"/>
      <c r="F4" s="52"/>
      <c r="G4" s="52"/>
      <c r="H4" s="52"/>
      <c r="K4" s="55"/>
    </row>
    <row r="5" spans="2:12" ht="20.100000000000001" customHeight="1" thickTop="1" x14ac:dyDescent="0.25">
      <c r="B5" s="56" t="s">
        <v>1</v>
      </c>
      <c r="C5" s="171"/>
      <c r="D5" s="171"/>
      <c r="E5" s="171"/>
      <c r="F5" s="172"/>
      <c r="H5" s="54"/>
      <c r="I5" s="163"/>
      <c r="J5" s="163"/>
    </row>
    <row r="6" spans="2:12" ht="20.100000000000001" customHeight="1" thickBot="1" x14ac:dyDescent="0.3">
      <c r="B6" s="57" t="s">
        <v>2</v>
      </c>
      <c r="C6" s="173"/>
      <c r="D6" s="173"/>
      <c r="E6" s="173"/>
      <c r="F6" s="174"/>
      <c r="G6" s="54"/>
      <c r="I6" s="163"/>
      <c r="J6" s="163"/>
      <c r="K6" s="58"/>
      <c r="L6" s="58"/>
    </row>
    <row r="7" spans="2:12" ht="9" customHeight="1" thickTop="1" thickBot="1" x14ac:dyDescent="0.3">
      <c r="H7" s="52"/>
      <c r="I7" s="52"/>
      <c r="J7" s="52"/>
      <c r="K7" s="55"/>
    </row>
    <row r="8" spans="2:12" ht="18.75" customHeight="1" thickTop="1" thickBot="1" x14ac:dyDescent="0.3">
      <c r="B8" s="59" t="s">
        <v>78</v>
      </c>
      <c r="H8" s="52"/>
      <c r="I8" s="164"/>
      <c r="J8" s="164"/>
      <c r="K8" s="52"/>
      <c r="L8" s="52"/>
    </row>
    <row r="9" spans="2:12" ht="18.75" customHeight="1" thickBot="1" x14ac:dyDescent="0.3">
      <c r="B9" s="60" t="s">
        <v>4</v>
      </c>
      <c r="G9" s="134" t="s">
        <v>243</v>
      </c>
      <c r="H9" s="48" t="str">
        <f>IF(zdroj!B56=TRUE,"Vyberte všechna Opatření projektu na řádcích 52 a níže",IF(AND(zdroj!B56=FALSE,zdroj!Q63&gt;0),"Pozor na řádku 52 a níže vybráno více Opatření, které ale není v buňce G9 zaškrtnuto",""))</f>
        <v/>
      </c>
    </row>
    <row r="10" spans="2:12" ht="18.75" customHeight="1" thickBot="1" x14ac:dyDescent="0.3">
      <c r="B10" s="60" t="s">
        <v>11</v>
      </c>
      <c r="G10" s="61" t="s">
        <v>244</v>
      </c>
      <c r="H10" s="48" t="str">
        <f>IF(zdroj!B57=TRUE,"Vyberte všechny Aktivity projektu na řádcích 65 a níže",IF(AND(zdroj!B57=FALSE,zdroj!Q69&gt;0),"Pozor na řádku 65 a níže vybráno více Aktivit, které ale nejsou v buňce G10 zaškrtnuté",""))</f>
        <v/>
      </c>
    </row>
    <row r="11" spans="2:12" ht="18.75" customHeight="1" thickBot="1" x14ac:dyDescent="0.3">
      <c r="B11" s="60" t="s">
        <v>126</v>
      </c>
      <c r="G11" s="61" t="s">
        <v>245</v>
      </c>
      <c r="H11" s="48" t="str">
        <f>IF(zdroj!B58=TRUE,"Vyberte všechny Podopatření projektu na řádcích 72 a níže",IF(AND(zdroj!B58=FALSE,zdroj!Q74&gt;0),"Pozor na řádku 72 a níže vybráno více Podaktivit, které ale nejsou v buňce G11 zaškrtnuté",""))</f>
        <v/>
      </c>
    </row>
    <row r="12" spans="2:12" ht="18.75" customHeight="1" x14ac:dyDescent="0.25">
      <c r="B12" s="60" t="s">
        <v>65</v>
      </c>
    </row>
    <row r="13" spans="2:12" ht="18.75" customHeight="1" x14ac:dyDescent="0.25">
      <c r="B13" s="60" t="s">
        <v>125</v>
      </c>
    </row>
    <row r="14" spans="2:12" ht="18.75" customHeight="1" thickBot="1" x14ac:dyDescent="0.3">
      <c r="B14" s="62" t="s">
        <v>74</v>
      </c>
    </row>
    <row r="15" spans="2:12" ht="20.100000000000001" customHeight="1" thickTop="1" x14ac:dyDescent="0.25">
      <c r="B15" s="63"/>
      <c r="C15" s="64"/>
      <c r="D15" s="64"/>
      <c r="E15" s="64"/>
      <c r="F15" s="64"/>
      <c r="G15" s="64"/>
    </row>
    <row r="16" spans="2:12" ht="20.100000000000001" customHeight="1" thickBot="1" x14ac:dyDescent="0.3">
      <c r="B16" s="65" t="s">
        <v>67</v>
      </c>
    </row>
    <row r="17" spans="2:12" ht="46.5" thickTop="1" thickBot="1" x14ac:dyDescent="0.3">
      <c r="B17" s="124"/>
      <c r="C17" s="66"/>
      <c r="D17" s="162" t="s">
        <v>160</v>
      </c>
      <c r="E17" s="68" t="s">
        <v>71</v>
      </c>
      <c r="F17" s="69" t="s">
        <v>161</v>
      </c>
      <c r="G17" s="67" t="s">
        <v>162</v>
      </c>
      <c r="H17" s="70" t="s">
        <v>70</v>
      </c>
      <c r="I17" s="71" t="s">
        <v>163</v>
      </c>
    </row>
    <row r="18" spans="2:12" ht="15.75" thickTop="1" x14ac:dyDescent="0.25">
      <c r="B18" s="168" t="s">
        <v>69</v>
      </c>
      <c r="C18" s="160" t="s">
        <v>258</v>
      </c>
      <c r="D18" s="141">
        <v>0</v>
      </c>
      <c r="E18" s="143">
        <v>21</v>
      </c>
      <c r="F18" s="72">
        <f>D18*(1+(E18/100))</f>
        <v>0</v>
      </c>
      <c r="G18" s="141">
        <v>0</v>
      </c>
      <c r="H18" s="73" t="str">
        <f>CHOOSE(zdroj!$P$26,G18*(1+(KR!E18/100)),D18*(E18/100)+G18,G18*(1+(KR!E18/100)),"vyber uznatelnost DPH")</f>
        <v>vyber uznatelnost DPH</v>
      </c>
      <c r="I18" s="74" t="str">
        <f>IFERROR(F18-H18,"zadej výdaje/uznatelnost DPH")</f>
        <v>zadej výdaje/uznatelnost DPH</v>
      </c>
    </row>
    <row r="19" spans="2:12" hidden="1" x14ac:dyDescent="0.25">
      <c r="B19" s="169"/>
      <c r="C19" s="161" t="s">
        <v>256</v>
      </c>
      <c r="D19" s="142">
        <v>0</v>
      </c>
      <c r="E19" s="144">
        <v>21</v>
      </c>
      <c r="F19" s="75">
        <f t="shared" ref="F19:F21" si="0">D19*(1+(E19/100))</f>
        <v>0</v>
      </c>
      <c r="G19" s="142">
        <v>0</v>
      </c>
      <c r="H19" s="76" t="str">
        <f>CHOOSE(zdroj!$P$26,G19*(1+(KR!E19/100)),D19*(E19/100)+G19,G19*(1+(KR!E19/100)),"vyber uznatelnost DPH")</f>
        <v>vyber uznatelnost DPH</v>
      </c>
      <c r="I19" s="77" t="str">
        <f t="shared" ref="I19:I21" si="1">IFERROR(F19-H19,"zadej výdaje/uznatelnost DPH")</f>
        <v>zadej výdaje/uznatelnost DPH</v>
      </c>
    </row>
    <row r="20" spans="2:12" ht="15.75" thickBot="1" x14ac:dyDescent="0.3">
      <c r="B20" s="169"/>
      <c r="C20" s="122" t="s">
        <v>68</v>
      </c>
      <c r="D20" s="142">
        <v>0</v>
      </c>
      <c r="E20" s="144">
        <v>21</v>
      </c>
      <c r="F20" s="75">
        <f t="shared" si="0"/>
        <v>0</v>
      </c>
      <c r="G20" s="142">
        <v>0</v>
      </c>
      <c r="H20" s="76" t="str">
        <f>CHOOSE(zdroj!$P$26,G20*(1+(KR!E20/100)),D20*(E20/100)+G20,G20*(1+(KR!E20/100)),"vyber uznatelnost DPH")</f>
        <v>vyber uznatelnost DPH</v>
      </c>
      <c r="I20" s="77" t="str">
        <f t="shared" si="1"/>
        <v>zadej výdaje/uznatelnost DPH</v>
      </c>
      <c r="J20" s="78"/>
      <c r="K20" s="78"/>
    </row>
    <row r="21" spans="2:12" ht="45.75" hidden="1" thickBot="1" x14ac:dyDescent="0.3">
      <c r="B21" s="170"/>
      <c r="C21" s="123" t="s">
        <v>121</v>
      </c>
      <c r="D21" s="139">
        <v>0</v>
      </c>
      <c r="E21" s="140">
        <v>21</v>
      </c>
      <c r="F21" s="79">
        <f t="shared" si="0"/>
        <v>0</v>
      </c>
      <c r="G21" s="139">
        <v>0</v>
      </c>
      <c r="H21" s="80" t="str">
        <f>CHOOSE(zdroj!$P$26,G21*(1+(KR!E21/100)),D21*(E21/100)+G21,G21*(1+(KR!E21/100)),"vyber uznatelnost DPH")</f>
        <v>vyber uznatelnost DPH</v>
      </c>
      <c r="I21" s="81" t="str">
        <f t="shared" si="1"/>
        <v>zadej výdaje/uznatelnost DPH</v>
      </c>
      <c r="J21" s="78"/>
      <c r="K21" s="78"/>
    </row>
    <row r="22" spans="2:12" ht="16.5" thickTop="1" thickBot="1" x14ac:dyDescent="0.3">
      <c r="B22" s="125"/>
      <c r="C22" s="82" t="s">
        <v>72</v>
      </c>
      <c r="D22" s="83">
        <f t="shared" ref="D22" si="2">SUM(D18:D21)</f>
        <v>0</v>
      </c>
      <c r="E22" s="84"/>
      <c r="F22" s="83">
        <f>SUM(F18:F21)</f>
        <v>0</v>
      </c>
      <c r="G22" s="85"/>
      <c r="H22" s="83">
        <f>SUM(H18:H21)</f>
        <v>0</v>
      </c>
      <c r="I22" s="86" t="str">
        <f>IFERROR(I18+I19+I20+I21,"zadej výdaje/uznatelnost DPH")</f>
        <v>zadej výdaje/uznatelnost DPH</v>
      </c>
      <c r="J22" s="87" t="s">
        <v>80</v>
      </c>
      <c r="K22" s="78"/>
    </row>
    <row r="23" spans="2:12" ht="15.75" thickTop="1" x14ac:dyDescent="0.25">
      <c r="D23" s="78"/>
      <c r="E23" s="78"/>
      <c r="F23" s="78"/>
      <c r="G23" s="78"/>
      <c r="H23" s="78"/>
      <c r="I23" s="88" t="str">
        <f>IFERROR(I18+I19+I20,"zadej výdaje/uznatelnost DPH")</f>
        <v>zadej výdaje/uznatelnost DPH</v>
      </c>
      <c r="J23" s="89" t="s">
        <v>79</v>
      </c>
      <c r="K23" s="78"/>
    </row>
    <row r="24" spans="2:12" ht="33.75" customHeight="1" x14ac:dyDescent="0.25">
      <c r="D24" s="165"/>
      <c r="E24" s="165"/>
      <c r="F24" s="165"/>
      <c r="G24" s="165"/>
      <c r="H24" s="64"/>
      <c r="I24" s="90">
        <f>IFERROR(I23*zdroj!P30,0)</f>
        <v>0</v>
      </c>
      <c r="J24" s="91" t="s">
        <v>214</v>
      </c>
      <c r="K24" s="132"/>
    </row>
    <row r="25" spans="2:12" ht="15.75" thickBot="1" x14ac:dyDescent="0.3">
      <c r="D25" s="78"/>
      <c r="E25" s="78"/>
      <c r="F25" s="78"/>
      <c r="G25" s="78"/>
      <c r="H25" s="78"/>
      <c r="I25" s="91">
        <f>CHOOSE(zdroj!P26,KR!I26,KR!I26,I26,0)</f>
        <v>0</v>
      </c>
      <c r="J25" s="91"/>
      <c r="K25" s="132"/>
    </row>
    <row r="26" spans="2:12" ht="33.75" customHeight="1" thickTop="1" thickBot="1" x14ac:dyDescent="0.3">
      <c r="B26" s="92" t="s">
        <v>119</v>
      </c>
      <c r="C26" s="93" t="s">
        <v>120</v>
      </c>
      <c r="D26" s="190" t="s">
        <v>166</v>
      </c>
      <c r="E26" s="190"/>
      <c r="F26" s="190"/>
      <c r="G26" s="190"/>
      <c r="H26" s="191"/>
      <c r="I26" s="94" t="str">
        <f>IF(OR(J26&lt;=15000000,J26="zadej výdaje/uznatelnost DPH"),J26,15000000)</f>
        <v>zadej výdaje/uznatelnost DPH</v>
      </c>
      <c r="J26" s="95" t="str">
        <f>IFERROR(IF(OR(zdroj!P2=1,zdroj!P2=2,zdroj!P2=3,zdroj!P2=4,zdroj!P2=5,zdroj!P2=15,zdroj!P2=18,zdroj!P2=19),zdroj!P32*KR!I23,0),"zadej výdaje/uznatelnost DPH")</f>
        <v>zadej výdaje/uznatelnost DPH</v>
      </c>
      <c r="K26" s="126"/>
      <c r="L26" s="130"/>
    </row>
    <row r="27" spans="2:12" ht="39.75" customHeight="1" thickTop="1" thickBot="1" x14ac:dyDescent="0.3">
      <c r="B27" s="96" t="s">
        <v>119</v>
      </c>
      <c r="C27" s="97" t="s">
        <v>120</v>
      </c>
      <c r="D27" s="145">
        <v>0</v>
      </c>
      <c r="E27" s="146">
        <v>21</v>
      </c>
      <c r="F27" s="98">
        <f>D27*(1+(E27/100))</f>
        <v>0</v>
      </c>
      <c r="G27" s="145">
        <v>0</v>
      </c>
      <c r="H27" s="99" t="str">
        <f>CHOOSE(zdroj!$P$26,IF(zdroj!P40&gt;zdroj!P41,zdroj!P40-zdroj!P41+(G27*(1+(E27/100))),G27*(1+(KR!E27/100))),IF(zdroj!P40&gt;zdroj!P41,zdroj!P40-zdroj!P41+D27*(E27/100)+G27,D27*(KR!E27/100)+G27),IF(zdroj!P40&gt;zdroj!P41,zdroj!P40-zdroj!P41+G27*(1+(E27/100)),G27*(1+(KR!E27/100))),"vyber plátce DPH")</f>
        <v>vyber plátce DPH</v>
      </c>
      <c r="I27" s="100" t="str">
        <f>IFERROR(IF(zdroj!P40&gt;zdroj!P41,zdroj!P41,F27-H27),"zadej výdaje/uznatelnost DPH")</f>
        <v>zadej výdaje/uznatelnost DPH</v>
      </c>
      <c r="J27" s="126"/>
      <c r="K27" s="126"/>
      <c r="L27" s="130"/>
    </row>
    <row r="28" spans="2:12" ht="16.5" customHeight="1" thickBot="1" x14ac:dyDescent="0.3">
      <c r="D28" s="90">
        <f>CHOOSE(zdroj!P2,0,0,0,0,0,KR!D27,KR!D27,KR!D27,KR!D27,KR!D27,KR!D27,KR!D27,KR!D27,KR!D27,0,KR!D27,KR!D27,0,0,KR!D27)</f>
        <v>0</v>
      </c>
      <c r="E28" s="101"/>
      <c r="F28" s="101">
        <f>(D28)*(1+(E27/100))</f>
        <v>0</v>
      </c>
      <c r="G28" s="25"/>
      <c r="H28" s="101">
        <f>CHOOSE(zdroj!P2,0,0,0,0,0,KR!H27,KR!H27,KR!H27,KR!H27,KR!H27,KR!H27,KR!H27,KR!H27,KR!H27,0,KR!H27,KR!H27,0,0,KR!H27)</f>
        <v>0</v>
      </c>
      <c r="I28" s="101">
        <f>CHOOSE(zdroj!P2,0,0,0,0,0,KR!I27,KR!I27,KR!I27,KR!I27,KR!I27,KR!I27,KR!I27,KR!I27,KR!I27,0,KR!I27,KR!I27,0,0,KR!I27)</f>
        <v>0</v>
      </c>
      <c r="J28" s="130"/>
      <c r="K28" s="130"/>
      <c r="L28" s="130"/>
    </row>
    <row r="29" spans="2:12" ht="15.75" customHeight="1" thickTop="1" thickBot="1" x14ac:dyDescent="0.3">
      <c r="B29" s="25">
        <f>IF(D29="zadej výdaje/DPH",0,D29)</f>
        <v>0</v>
      </c>
      <c r="C29" s="102" t="s">
        <v>159</v>
      </c>
      <c r="D29" s="103" t="str">
        <f>IFERROR(IF(ROUND(F22+I25+F28,0)=0,"zadej výdaje/DPH",ROUND(F22+I25+F28,0)),"zadej výdaje/DPH")</f>
        <v>zadej výdaje/DPH</v>
      </c>
      <c r="E29" s="64"/>
      <c r="F29" s="64"/>
      <c r="H29" s="104"/>
      <c r="I29" s="104"/>
      <c r="J29" s="130"/>
      <c r="K29" s="130"/>
      <c r="L29" s="130"/>
    </row>
    <row r="30" spans="2:12" ht="15.75" thickTop="1" x14ac:dyDescent="0.25">
      <c r="C30" s="105" t="s">
        <v>235</v>
      </c>
      <c r="D30" s="106" t="str">
        <f>IFERROR(IF(ROUND(I22+I26+I28,0)=0,"zadej výdaje/DPH",ROUND(I22+I26+I28,0)),"zadej výdaje/DPH")</f>
        <v>zadej výdaje/DPH</v>
      </c>
      <c r="E30" s="107"/>
      <c r="F30" s="64"/>
      <c r="G30" s="108" t="s">
        <v>122</v>
      </c>
      <c r="H30" s="109"/>
      <c r="I30" s="110"/>
    </row>
    <row r="31" spans="2:12" ht="15.75" thickBot="1" x14ac:dyDescent="0.3">
      <c r="C31" s="111" t="s">
        <v>236</v>
      </c>
      <c r="D31" s="112" t="str">
        <f>IFERROR(ROUND(D29-D30,0),"zadej výdaje/DPH")</f>
        <v>zadej výdaje/DPH</v>
      </c>
      <c r="E31" s="64"/>
      <c r="F31" s="64"/>
      <c r="G31" s="184" t="s">
        <v>88</v>
      </c>
      <c r="H31" s="185"/>
      <c r="I31" s="186"/>
    </row>
    <row r="32" spans="2:12" ht="15.75" thickTop="1" x14ac:dyDescent="0.25">
      <c r="D32" s="64"/>
      <c r="E32" s="64"/>
      <c r="F32" s="64"/>
      <c r="G32" s="184"/>
      <c r="H32" s="185"/>
      <c r="I32" s="186"/>
    </row>
    <row r="33" spans="2:9" x14ac:dyDescent="0.25">
      <c r="G33" s="184"/>
      <c r="H33" s="185"/>
      <c r="I33" s="186"/>
    </row>
    <row r="34" spans="2:9" x14ac:dyDescent="0.25">
      <c r="G34" s="184"/>
      <c r="H34" s="185"/>
      <c r="I34" s="186"/>
    </row>
    <row r="35" spans="2:9" ht="24" customHeight="1" x14ac:dyDescent="0.25">
      <c r="G35" s="184"/>
      <c r="H35" s="185"/>
      <c r="I35" s="186"/>
    </row>
    <row r="36" spans="2:9" ht="24" customHeight="1" thickBot="1" x14ac:dyDescent="0.35">
      <c r="C36" s="113" t="s">
        <v>164</v>
      </c>
      <c r="D36" s="147" t="s">
        <v>165</v>
      </c>
      <c r="E36" s="148">
        <f ca="1">TODAY()</f>
        <v>45908</v>
      </c>
      <c r="G36" s="187"/>
      <c r="H36" s="188"/>
      <c r="I36" s="189"/>
    </row>
    <row r="37" spans="2:9" ht="15" customHeight="1" thickTop="1" x14ac:dyDescent="0.25"/>
    <row r="38" spans="2:9" ht="35.1" customHeight="1" x14ac:dyDescent="0.25">
      <c r="G38" s="114"/>
      <c r="H38" s="114"/>
      <c r="I38" s="114"/>
    </row>
    <row r="39" spans="2:9" ht="15.75" x14ac:dyDescent="0.25">
      <c r="G39" s="115"/>
      <c r="H39" s="115"/>
      <c r="I39" s="115"/>
    </row>
    <row r="40" spans="2:9" ht="24" thickBot="1" x14ac:dyDescent="0.3">
      <c r="C40" s="131" t="s">
        <v>237</v>
      </c>
    </row>
    <row r="41" spans="2:9" ht="34.5" customHeight="1" thickTop="1" x14ac:dyDescent="0.25">
      <c r="B41" s="127"/>
      <c r="C41" s="175" t="s">
        <v>240</v>
      </c>
      <c r="D41" s="176"/>
      <c r="E41" s="177"/>
      <c r="F41" s="133" t="str">
        <f>IF(J26="zadej výdaje/uznatelnost DPH","zadej výdaje/DPH",IF(OR(zdroj!P2=1,zdroj!P2=2,zdroj!P2=3,zdroj!P2=4,zdroj!P2=5,zdroj!P2=15,zdroj!P2=18,zdroj!P2=19),IF(KR!J26&gt;15000000,300000000,I22),0))</f>
        <v>zadej výdaje/DPH</v>
      </c>
    </row>
    <row r="42" spans="2:9" ht="34.5" customHeight="1" x14ac:dyDescent="0.25">
      <c r="B42" s="127"/>
      <c r="C42" s="178" t="s">
        <v>241</v>
      </c>
      <c r="D42" s="179"/>
      <c r="E42" s="180"/>
      <c r="F42" s="128" t="str">
        <f>IF(J26="zadej výdaje/uznatelnost DPH","zadej výdaje/DPH",IF(OR(zdroj!P2=1,zdroj!P2=2,zdroj!P2=3,zdroj!P2=4,zdroj!P2=5,zdroj!P2=15,zdroj!P2=18,zdroj!P2=19),IF(KR!J26&gt;15000000,(KR!I22-300000000),0),KR!D30))</f>
        <v>zadej výdaje/DPH</v>
      </c>
    </row>
    <row r="43" spans="2:9" ht="34.5" customHeight="1" thickBot="1" x14ac:dyDescent="0.3">
      <c r="B43" s="127"/>
      <c r="C43" s="181" t="s">
        <v>242</v>
      </c>
      <c r="D43" s="182"/>
      <c r="E43" s="183"/>
      <c r="F43" s="129" t="str">
        <f>IFERROR((F22+I25+F28)-(I22+I26+I28),"zadej výdaje/DPH")</f>
        <v>zadej výdaje/DPH</v>
      </c>
    </row>
    <row r="44" spans="2:9" ht="15.75" thickTop="1" x14ac:dyDescent="0.25">
      <c r="C44" s="130" t="s">
        <v>238</v>
      </c>
    </row>
    <row r="45" spans="2:9" x14ac:dyDescent="0.25">
      <c r="C45" s="130" t="s">
        <v>239</v>
      </c>
    </row>
    <row r="50" spans="2:8" x14ac:dyDescent="0.25">
      <c r="B50" s="25"/>
      <c r="C50" s="25" t="s">
        <v>191</v>
      </c>
      <c r="D50" s="25"/>
      <c r="E50" s="25"/>
      <c r="F50" s="25"/>
      <c r="G50" s="25"/>
    </row>
    <row r="51" spans="2:8" x14ac:dyDescent="0.25">
      <c r="B51" s="24" t="s">
        <v>197</v>
      </c>
      <c r="C51" s="25" t="str">
        <f>CHOOSE(zdroj!C10,zdroj!D10,zdroj!D11,zdroj!D12,zdroj!D13,zdroj!D14,zdroj!D15,zdroj!D16,zdroj!D17,zdroj!D18,zdroj!D19,zdroj!D20)</f>
        <v>Vyber nejprve Specifický cíl a poté hlavní Opatření projektu</v>
      </c>
      <c r="D51" s="25"/>
      <c r="E51" s="25"/>
      <c r="F51" s="25"/>
      <c r="G51" s="25"/>
      <c r="H51" s="48" t="s">
        <v>124</v>
      </c>
    </row>
    <row r="52" spans="2:8" x14ac:dyDescent="0.25">
      <c r="B52" s="117"/>
      <c r="C52" s="116" t="s">
        <v>181</v>
      </c>
      <c r="D52" s="25"/>
      <c r="E52" s="25"/>
      <c r="F52" s="25" t="str">
        <f>IF(C51=C52,"Duplicita Opatření","")</f>
        <v/>
      </c>
      <c r="G52" s="25"/>
      <c r="H52" s="48" t="s">
        <v>124</v>
      </c>
    </row>
    <row r="53" spans="2:8" x14ac:dyDescent="0.25">
      <c r="B53" s="117"/>
      <c r="C53" s="116" t="s">
        <v>182</v>
      </c>
      <c r="D53" s="25"/>
      <c r="E53" s="25"/>
      <c r="F53" s="25" t="str">
        <f>IF(OR(C51=C53,C52=C53),"Duplicita Opatření","")</f>
        <v/>
      </c>
      <c r="G53" s="25"/>
      <c r="H53" s="48" t="s">
        <v>124</v>
      </c>
    </row>
    <row r="54" spans="2:8" x14ac:dyDescent="0.25">
      <c r="B54" s="117"/>
      <c r="C54" s="116" t="s">
        <v>183</v>
      </c>
      <c r="D54" s="25"/>
      <c r="E54" s="25"/>
      <c r="F54" s="25" t="str">
        <f>IF(OR(C54=C53,C54=C52,C54=C51),"Duplicita Opatření","")</f>
        <v/>
      </c>
      <c r="G54" s="25"/>
      <c r="H54" s="48" t="s">
        <v>124</v>
      </c>
    </row>
    <row r="55" spans="2:8" x14ac:dyDescent="0.25">
      <c r="B55" s="117"/>
      <c r="C55" s="116" t="s">
        <v>184</v>
      </c>
      <c r="D55" s="25"/>
      <c r="E55" s="25"/>
      <c r="F55" s="25" t="str">
        <f>IF(OR(C53=C55,C55=C54,C55=C52,C55=C51),"Duplicita Opatření","")</f>
        <v/>
      </c>
      <c r="G55" s="25"/>
      <c r="H55" s="48" t="s">
        <v>124</v>
      </c>
    </row>
    <row r="56" spans="2:8" x14ac:dyDescent="0.25">
      <c r="B56" s="117"/>
      <c r="C56" s="116" t="s">
        <v>185</v>
      </c>
      <c r="D56" s="25"/>
      <c r="E56" s="25"/>
      <c r="F56" s="25" t="str">
        <f>IF(OR(C56=C55,C56=C54,C56=C53,C56=C52,C56=C51),"Duplicita Opatření","")</f>
        <v/>
      </c>
      <c r="G56" s="25"/>
      <c r="H56" s="48" t="s">
        <v>124</v>
      </c>
    </row>
    <row r="57" spans="2:8" x14ac:dyDescent="0.25">
      <c r="B57" s="117"/>
      <c r="C57" s="116" t="s">
        <v>186</v>
      </c>
      <c r="D57" s="25"/>
      <c r="E57" s="25"/>
      <c r="F57" s="25" t="str">
        <f>IF(OR(C57=C56,C57=C55,C57=C54,C57=C53,C57=C52,C57=C51),"Duplicita Opatření","")</f>
        <v/>
      </c>
      <c r="G57" s="25"/>
      <c r="H57" s="48" t="s">
        <v>124</v>
      </c>
    </row>
    <row r="58" spans="2:8" x14ac:dyDescent="0.25">
      <c r="B58" s="117"/>
      <c r="C58" s="116" t="s">
        <v>187</v>
      </c>
      <c r="D58" s="25"/>
      <c r="E58" s="25"/>
      <c r="F58" s="25" t="str">
        <f>IF(OR($C$56=C58,$C$57=C58,$C$55=C58,$C$54=C58,$C$53=C58,$C$52=C58,$C$51=C58),"Duplicita Opatření","")</f>
        <v/>
      </c>
      <c r="G58" s="25"/>
      <c r="H58" s="48" t="s">
        <v>124</v>
      </c>
    </row>
    <row r="59" spans="2:8" x14ac:dyDescent="0.25">
      <c r="B59" s="117"/>
      <c r="C59" s="116" t="s">
        <v>188</v>
      </c>
      <c r="D59" s="25"/>
      <c r="E59" s="25"/>
      <c r="F59" s="25" t="str">
        <f>IF(OR($C$58=C59,$C$56=C59,$C$57=C59,$C$55=C59,$C$54=C59,$C$53=C59,$C$52=C59,$C$51=C59),"Duplicita Opatření","")</f>
        <v/>
      </c>
      <c r="G59" s="25"/>
      <c r="H59" s="48" t="s">
        <v>124</v>
      </c>
    </row>
    <row r="60" spans="2:8" x14ac:dyDescent="0.25">
      <c r="B60" s="117"/>
      <c r="C60" s="116" t="s">
        <v>189</v>
      </c>
      <c r="D60" s="25"/>
      <c r="E60" s="25"/>
      <c r="F60" s="25" t="str">
        <f>IF(OR($C$59=C60,$C$58=C60,$C$56=C60,$C$57=C60,$C$55=C60,$C$54=C60,$C$53=C60,$C$52=C60,$C$51=C60),"Duplicita Opatření","")</f>
        <v/>
      </c>
      <c r="G60" s="25"/>
      <c r="H60" s="48" t="s">
        <v>124</v>
      </c>
    </row>
    <row r="61" spans="2:8" x14ac:dyDescent="0.25">
      <c r="B61" s="117"/>
      <c r="C61" s="116" t="s">
        <v>190</v>
      </c>
      <c r="D61" s="25"/>
      <c r="E61" s="25"/>
      <c r="F61" s="25" t="str">
        <f>IF(OR(C60=C61,$C$59=C61,$C$58=C61,$C$56=C61,$C$57=C61,$C$55=C61,$C$54=C61,$C$53=C61,$C$52=C61,$C$51=C61),"Duplicita Opatření","")</f>
        <v/>
      </c>
      <c r="G61" s="25"/>
      <c r="H61" s="48" t="s">
        <v>124</v>
      </c>
    </row>
    <row r="62" spans="2:8" x14ac:dyDescent="0.25">
      <c r="H62" s="48" t="s">
        <v>124</v>
      </c>
    </row>
    <row r="63" spans="2:8" x14ac:dyDescent="0.25">
      <c r="B63" s="25"/>
      <c r="C63" s="26" t="s">
        <v>198</v>
      </c>
      <c r="D63" s="26"/>
      <c r="E63" s="25"/>
      <c r="F63" s="25"/>
      <c r="G63" s="25"/>
    </row>
    <row r="64" spans="2:8" x14ac:dyDescent="0.25">
      <c r="B64" s="24" t="s">
        <v>196</v>
      </c>
      <c r="C64" s="25" t="str">
        <f>CHOOSE(zdroj!B24,zdroj!D23,zdroj!D24,zdroj!D25,zdroj!D26,zdroj!D27)</f>
        <v>irelevantní</v>
      </c>
      <c r="D64" s="25"/>
      <c r="E64" s="25"/>
      <c r="F64" s="25"/>
      <c r="G64" s="25"/>
      <c r="H64" s="48" t="s">
        <v>124</v>
      </c>
    </row>
    <row r="65" spans="2:8" x14ac:dyDescent="0.25">
      <c r="B65" s="25"/>
      <c r="C65" s="116" t="s">
        <v>192</v>
      </c>
      <c r="D65" s="25"/>
      <c r="E65" s="25"/>
      <c r="F65" s="25"/>
      <c r="G65" s="25" t="str">
        <f>IF(C65=C64,"Duplicita Aktivit","")</f>
        <v/>
      </c>
      <c r="H65" s="48" t="s">
        <v>124</v>
      </c>
    </row>
    <row r="66" spans="2:8" x14ac:dyDescent="0.25">
      <c r="B66" s="25"/>
      <c r="C66" s="116" t="s">
        <v>193</v>
      </c>
      <c r="D66" s="25"/>
      <c r="E66" s="25"/>
      <c r="F66" s="25"/>
      <c r="G66" s="25" t="str">
        <f>IF(OR(C66=$C$65,C66=$C$64),"Duplicita Aktivit","")</f>
        <v/>
      </c>
      <c r="H66" s="48" t="s">
        <v>124</v>
      </c>
    </row>
    <row r="67" spans="2:8" x14ac:dyDescent="0.25">
      <c r="B67" s="25"/>
      <c r="C67" s="116" t="s">
        <v>194</v>
      </c>
      <c r="D67" s="25"/>
      <c r="E67" s="25"/>
      <c r="F67" s="25"/>
      <c r="G67" s="25" t="str">
        <f>IF(OR(C67=$C$66,C67=$C$65,C67=$C$64),"Duplicita Aktivit","")</f>
        <v/>
      </c>
      <c r="H67" s="48" t="s">
        <v>124</v>
      </c>
    </row>
    <row r="68" spans="2:8" x14ac:dyDescent="0.25">
      <c r="B68" s="25"/>
      <c r="C68" s="116" t="s">
        <v>195</v>
      </c>
      <c r="D68" s="25"/>
      <c r="E68" s="25"/>
      <c r="F68" s="25"/>
      <c r="G68" s="25" t="str">
        <f>IF(OR(C68=$C$67,C68=$C$66,C68=$C$65,C68=$C$64),"Duplicita Aktivit","")</f>
        <v/>
      </c>
      <c r="H68" s="48" t="s">
        <v>124</v>
      </c>
    </row>
    <row r="69" spans="2:8" x14ac:dyDescent="0.25">
      <c r="H69" s="48" t="s">
        <v>124</v>
      </c>
    </row>
    <row r="70" spans="2:8" x14ac:dyDescent="0.25">
      <c r="B70" s="25"/>
      <c r="C70" s="26" t="s">
        <v>199</v>
      </c>
      <c r="D70" s="25"/>
      <c r="E70" s="25"/>
      <c r="F70" s="25"/>
      <c r="G70" s="25"/>
    </row>
    <row r="71" spans="2:8" x14ac:dyDescent="0.25">
      <c r="B71" s="24" t="s">
        <v>200</v>
      </c>
      <c r="C71" s="25" t="str">
        <f>CHOOSE(zdroj!L47,zdroj!M47,zdroj!M48,zdroj!M49,zdroj!M50)</f>
        <v>irelevantní</v>
      </c>
      <c r="D71" s="25"/>
      <c r="E71" s="25"/>
      <c r="F71" s="25"/>
      <c r="G71" s="25"/>
      <c r="H71" s="48" t="s">
        <v>124</v>
      </c>
    </row>
    <row r="72" spans="2:8" x14ac:dyDescent="0.25">
      <c r="B72" s="25"/>
      <c r="C72" s="116" t="s">
        <v>201</v>
      </c>
      <c r="D72" s="25"/>
      <c r="E72" s="25"/>
      <c r="F72" s="25"/>
      <c r="G72" s="25"/>
      <c r="H72" s="25" t="str">
        <f>IF(C72=C71,"Duplicita Podaktivit","")</f>
        <v/>
      </c>
    </row>
    <row r="73" spans="2:8" x14ac:dyDescent="0.25">
      <c r="B73" s="25"/>
      <c r="C73" s="116" t="s">
        <v>202</v>
      </c>
      <c r="D73" s="25"/>
      <c r="E73" s="25"/>
      <c r="F73" s="25"/>
      <c r="G73" s="25"/>
      <c r="H73" s="25" t="str">
        <f>IF(OR(C73=C72,C73=C71),"Duplicita Podaktivit","")</f>
        <v/>
      </c>
    </row>
    <row r="74" spans="2:8" x14ac:dyDescent="0.25">
      <c r="B74" s="25"/>
      <c r="C74" s="116" t="s">
        <v>203</v>
      </c>
      <c r="D74" s="25"/>
      <c r="E74" s="25"/>
      <c r="F74" s="25"/>
      <c r="G74" s="25"/>
      <c r="H74" s="25" t="str">
        <f>IF(OR(C74=C73,C74=C72,C74=C71),"Duplicita Podaktivit","")</f>
        <v/>
      </c>
    </row>
    <row r="75" spans="2:8" x14ac:dyDescent="0.25">
      <c r="H75" s="48" t="s">
        <v>124</v>
      </c>
    </row>
  </sheetData>
  <sheetProtection algorithmName="SHA-512" hashValue="dfIQUvR+x0x61yrr5jzXeT1jkF+Gsnbtz5LzusIa8BiAaT1G9TNkYMBq7HkJ9KYZO9RGOagEoEj+oEPD2k4UuA==" saltValue="MlYZPqsVEM6sq+cumWL4nQ==" spinCount="100000" sheet="1" selectLockedCells="1"/>
  <mergeCells count="14">
    <mergeCell ref="C41:E41"/>
    <mergeCell ref="C42:E42"/>
    <mergeCell ref="C43:E43"/>
    <mergeCell ref="G31:I36"/>
    <mergeCell ref="D26:H26"/>
    <mergeCell ref="I5:J5"/>
    <mergeCell ref="I6:J6"/>
    <mergeCell ref="I8:J8"/>
    <mergeCell ref="D24:G24"/>
    <mergeCell ref="B2:E2"/>
    <mergeCell ref="D3:F3"/>
    <mergeCell ref="B18:B21"/>
    <mergeCell ref="C5:F5"/>
    <mergeCell ref="C6:F6"/>
  </mergeCells>
  <conditionalFormatting sqref="D24:G24">
    <cfRule type="containsText" dxfId="3" priority="28" operator="containsText" text="Upozornění">
      <formula>NOT(ISERROR(SEARCH("Upozornění",D24)))</formula>
    </cfRule>
  </conditionalFormatting>
  <conditionalFormatting sqref="F52:F61">
    <cfRule type="containsText" dxfId="2" priority="5" operator="containsText" text="Duplicita">
      <formula>NOT(ISERROR(SEARCH("Duplicita",F52)))</formula>
    </cfRule>
  </conditionalFormatting>
  <conditionalFormatting sqref="G65:G68">
    <cfRule type="containsText" dxfId="1" priority="4" operator="containsText" text="Duplicita">
      <formula>NOT(ISERROR(SEARCH("Duplicita",G65)))</formula>
    </cfRule>
  </conditionalFormatting>
  <conditionalFormatting sqref="H72:H74">
    <cfRule type="containsText" dxfId="0" priority="3" operator="containsText" text="Duplicita">
      <formula>NOT(ISERROR(SEARCH("Duplicita",H72)))</formula>
    </cfRule>
  </conditionalFormatting>
  <pageMargins left="0.7" right="0.7" top="0.78740157499999996" bottom="0.78740157499999996" header="0.3" footer="0.3"/>
  <pageSetup paperSize="9" scale="56" orientation="landscape" r:id="rId1"/>
  <ignoredErrors>
    <ignoredError sqref="E3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</xdr:col>
                    <xdr:colOff>9525</xdr:colOff>
                    <xdr:row>6</xdr:row>
                    <xdr:rowOff>104775</xdr:rowOff>
                  </from>
                  <to>
                    <xdr:col>6</xdr:col>
                    <xdr:colOff>9525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Drop Down 40">
              <controlPr defaultSize="0" autoLine="0" autoPict="0">
                <anchor moveWithCells="1">
                  <from>
                    <xdr:col>2</xdr:col>
                    <xdr:colOff>9525</xdr:colOff>
                    <xdr:row>7</xdr:row>
                    <xdr:rowOff>228600</xdr:rowOff>
                  </from>
                  <to>
                    <xdr:col>6</xdr:col>
                    <xdr:colOff>9525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Drop Down 41">
              <controlPr defaultSize="0" autoLine="0" autoPict="0">
                <anchor moveWithCells="1">
                  <from>
                    <xdr:col>2</xdr:col>
                    <xdr:colOff>9525</xdr:colOff>
                    <xdr:row>8</xdr:row>
                    <xdr:rowOff>228600</xdr:rowOff>
                  </from>
                  <to>
                    <xdr:col>6</xdr:col>
                    <xdr:colOff>9525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Drop Down 4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228600</xdr:rowOff>
                  </from>
                  <to>
                    <xdr:col>6</xdr:col>
                    <xdr:colOff>9525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" name="Drop Down 43">
              <controlPr defaultSize="0" autoLine="0" autoPict="0">
                <anchor moveWithCells="1">
                  <from>
                    <xdr:col>2</xdr:col>
                    <xdr:colOff>9525</xdr:colOff>
                    <xdr:row>10</xdr:row>
                    <xdr:rowOff>228600</xdr:rowOff>
                  </from>
                  <to>
                    <xdr:col>6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Drop Down 44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228600</xdr:rowOff>
                  </from>
                  <to>
                    <xdr:col>6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Drop Down 45">
              <controlPr defaultSize="0" autoLine="0" autoPict="0">
                <anchor moveWithCells="1">
                  <from>
                    <xdr:col>2</xdr:col>
                    <xdr:colOff>9525</xdr:colOff>
                    <xdr:row>13</xdr:row>
                    <xdr:rowOff>0</xdr:rowOff>
                  </from>
                  <to>
                    <xdr:col>6</xdr:col>
                    <xdr:colOff>9525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1" name="Check Box 47">
              <controlPr defaultSize="0" autoFill="0" autoLine="0" autoPict="0">
                <anchor moveWithCells="1">
                  <from>
                    <xdr:col>6</xdr:col>
                    <xdr:colOff>1695450</xdr:colOff>
                    <xdr:row>8</xdr:row>
                    <xdr:rowOff>19050</xdr:rowOff>
                  </from>
                  <to>
                    <xdr:col>7</xdr:col>
                    <xdr:colOff>104775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2" name="Check Box 50">
              <controlPr defaultSize="0" autoFill="0" autoLine="0" autoPict="0">
                <anchor moveWithCells="1">
                  <from>
                    <xdr:col>6</xdr:col>
                    <xdr:colOff>1695450</xdr:colOff>
                    <xdr:row>9</xdr:row>
                    <xdr:rowOff>9525</xdr:rowOff>
                  </from>
                  <to>
                    <xdr:col>7</xdr:col>
                    <xdr:colOff>104775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51">
              <controlPr defaultSize="0" autoFill="0" autoLine="0" autoPict="0">
                <anchor moveWithCells="1">
                  <from>
                    <xdr:col>6</xdr:col>
                    <xdr:colOff>1695450</xdr:colOff>
                    <xdr:row>10</xdr:row>
                    <xdr:rowOff>9525</xdr:rowOff>
                  </from>
                  <to>
                    <xdr:col>7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02DF5741-8A46-4290-81FD-3880B5A76164}">
            <xm:f>zdroj!$A$56=1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B51:E51</xm:sqref>
        </x14:conditionalFormatting>
        <x14:conditionalFormatting xmlns:xm="http://schemas.microsoft.com/office/excel/2006/main">
          <x14:cfRule type="expression" priority="11" id="{B327651F-C2B7-415D-A2AA-58A5E92417DD}">
            <xm:f>zdroj!$A$57=1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B64:F64</xm:sqref>
        </x14:conditionalFormatting>
        <x14:conditionalFormatting xmlns:xm="http://schemas.microsoft.com/office/excel/2006/main">
          <x14:cfRule type="expression" priority="7" id="{E2FC6861-625E-4A14-B0D4-26C8F87149A5}">
            <xm:f>zdroj!$A$58=1</xm:f>
            <x14:dxf>
              <font>
                <color theme="1"/>
              </font>
              <fill>
                <patternFill>
                  <bgColor theme="0" tint="-0.14996795556505021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B71:G71</xm:sqref>
        </x14:conditionalFormatting>
        <x14:conditionalFormatting xmlns:xm="http://schemas.microsoft.com/office/excel/2006/main">
          <x14:cfRule type="expression" priority="32" id="{4A7313BA-F59B-4ED0-83CC-386E9F3CF6DF}">
            <xm:f>zdroj!$O$2=1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vertical/>
                <horizontal/>
              </border>
            </x14:dxf>
          </x14:cfRule>
          <xm:sqref>B26:I26</xm:sqref>
        </x14:conditionalFormatting>
        <x14:conditionalFormatting xmlns:xm="http://schemas.microsoft.com/office/excel/2006/main">
          <x14:cfRule type="expression" priority="33" id="{40359D27-D23C-4821-B8A9-0EB22BB65B60}">
            <xm:f>OR(zdroj!$P$2=1,zdroj!$P$2=2,zdroj!$P$2=3,zdroj!$P$2=4,zdroj!$P$2=5,zdroj!$P$2=15,zdroj!$P$2=18,zdroj!$P$2=19)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bottom/>
              </border>
            </x14:dxf>
          </x14:cfRule>
          <xm:sqref>B27:I27</xm:sqref>
        </x14:conditionalFormatting>
        <x14:conditionalFormatting xmlns:xm="http://schemas.microsoft.com/office/excel/2006/main">
          <x14:cfRule type="expression" priority="20" id="{027641CA-EFC7-47FE-8CDE-65AF9C5C1BB1}">
            <xm:f>zdroj!$A$56=1</xm:f>
            <x14:dxf>
              <font>
                <b/>
                <i val="0"/>
                <color theme="1"/>
              </font>
              <fill>
                <patternFill>
                  <bgColor theme="5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C50</xm:sqref>
        </x14:conditionalFormatting>
        <x14:conditionalFormatting xmlns:xm="http://schemas.microsoft.com/office/excel/2006/main">
          <x14:cfRule type="expression" priority="15" id="{96F83ED9-A494-4DA4-B70B-DB1103177D16}">
            <xm:f>zdroj!$A$56=1</xm:f>
            <x14:dxf>
              <font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C52:C61</xm:sqref>
        </x14:conditionalFormatting>
        <x14:conditionalFormatting xmlns:xm="http://schemas.microsoft.com/office/excel/2006/main">
          <x14:cfRule type="expression" priority="10" id="{167F8327-7F72-4B27-8817-0D04F6E9582C}">
            <xm:f>zdroj!$A$57=1</xm:f>
            <x14:dxf>
              <font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C65:C68</xm:sqref>
        </x14:conditionalFormatting>
        <x14:conditionalFormatting xmlns:xm="http://schemas.microsoft.com/office/excel/2006/main">
          <x14:cfRule type="expression" priority="6" id="{9B3E19BA-E0BE-4C60-8E02-0374892312A9}">
            <xm:f>zdroj!$A$58=1</xm:f>
            <x14:dxf>
              <font>
                <color theme="1"/>
              </font>
              <fill>
                <patternFill>
                  <bgColor rgb="FF92D050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C72:C74</xm:sqref>
        </x14:conditionalFormatting>
        <x14:conditionalFormatting xmlns:xm="http://schemas.microsoft.com/office/excel/2006/main">
          <x14:cfRule type="expression" priority="9" id="{B4E2679F-C478-4137-9EBE-1854D5521912}">
            <xm:f>zdroj!$A$57=1</xm:f>
            <x14:dxf>
              <font>
                <color theme="1"/>
              </font>
              <fill>
                <patternFill>
                  <bgColor theme="8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C63:D63</xm:sqref>
        </x14:conditionalFormatting>
        <x14:conditionalFormatting xmlns:xm="http://schemas.microsoft.com/office/excel/2006/main">
          <x14:cfRule type="expression" priority="8" id="{56E91F7A-3672-464F-87E7-8EC1C485B259}">
            <xm:f>zdroj!$A$58=1</xm:f>
            <x14:dxf>
              <font>
                <color theme="1"/>
              </font>
              <fill>
                <patternFill>
                  <bgColor theme="7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C70:G70</xm:sqref>
        </x14:conditionalFormatting>
        <x14:conditionalFormatting xmlns:xm="http://schemas.microsoft.com/office/excel/2006/main">
          <x14:cfRule type="expression" priority="19" id="{D189D115-F8FD-4C9D-BB95-D3482FB64BAF}">
            <xm:f>zdroj!$A$56=1</xm:f>
            <x14:dxf>
              <font>
                <color theme="1"/>
              </font>
              <fill>
                <patternFill>
                  <bgColor theme="5" tint="0.3999450666829432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D50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 xr:uid="{00000000-0002-0000-0000-000000000000}">
          <x14:formula1>
            <xm:f>zdroj!$D$59:$D$70</xm:f>
          </x14:formula1>
          <xm:sqref>C52</xm:sqref>
        </x14:dataValidation>
        <x14:dataValidation type="list" allowBlank="1" showInputMessage="1" showErrorMessage="1" xr:uid="{00000000-0002-0000-0000-000001000000}">
          <x14:formula1>
            <xm:f>zdroj!$E$59:$E$70</xm:f>
          </x14:formula1>
          <xm:sqref>C53</xm:sqref>
        </x14:dataValidation>
        <x14:dataValidation type="list" allowBlank="1" showInputMessage="1" showErrorMessage="1" xr:uid="{00000000-0002-0000-0000-000002000000}">
          <x14:formula1>
            <xm:f>zdroj!$F$59:$F$70</xm:f>
          </x14:formula1>
          <xm:sqref>C54</xm:sqref>
        </x14:dataValidation>
        <x14:dataValidation type="list" allowBlank="1" showInputMessage="1" showErrorMessage="1" xr:uid="{00000000-0002-0000-0000-000003000000}">
          <x14:formula1>
            <xm:f>zdroj!$G$59:$G$70</xm:f>
          </x14:formula1>
          <xm:sqref>C55</xm:sqref>
        </x14:dataValidation>
        <x14:dataValidation type="list" allowBlank="1" showInputMessage="1" showErrorMessage="1" xr:uid="{00000000-0002-0000-0000-000004000000}">
          <x14:formula1>
            <xm:f>zdroj!$H$59:$H$70</xm:f>
          </x14:formula1>
          <xm:sqref>C56</xm:sqref>
        </x14:dataValidation>
        <x14:dataValidation type="list" allowBlank="1" showInputMessage="1" showErrorMessage="1" xr:uid="{00000000-0002-0000-0000-000005000000}">
          <x14:formula1>
            <xm:f>zdroj!$I$59:$I$70</xm:f>
          </x14:formula1>
          <xm:sqref>C57</xm:sqref>
        </x14:dataValidation>
        <x14:dataValidation type="list" allowBlank="1" showInputMessage="1" showErrorMessage="1" xr:uid="{00000000-0002-0000-0000-000006000000}">
          <x14:formula1>
            <xm:f>zdroj!$J$59:$J$70</xm:f>
          </x14:formula1>
          <xm:sqref>C58</xm:sqref>
        </x14:dataValidation>
        <x14:dataValidation type="list" allowBlank="1" showInputMessage="1" showErrorMessage="1" xr:uid="{00000000-0002-0000-0000-000007000000}">
          <x14:formula1>
            <xm:f>zdroj!$K$59:$K$70</xm:f>
          </x14:formula1>
          <xm:sqref>C59</xm:sqref>
        </x14:dataValidation>
        <x14:dataValidation type="list" allowBlank="1" showInputMessage="1" showErrorMessage="1" xr:uid="{00000000-0002-0000-0000-000008000000}">
          <x14:formula1>
            <xm:f>zdroj!$L$59:$L$70</xm:f>
          </x14:formula1>
          <xm:sqref>C60</xm:sqref>
        </x14:dataValidation>
        <x14:dataValidation type="list" allowBlank="1" showInputMessage="1" showErrorMessage="1" xr:uid="{00000000-0002-0000-0000-000009000000}">
          <x14:formula1>
            <xm:f>zdroj!$M$59:$M$70</xm:f>
          </x14:formula1>
          <xm:sqref>C61</xm:sqref>
        </x14:dataValidation>
        <x14:dataValidation type="list" allowBlank="1" showInputMessage="1" showErrorMessage="1" xr:uid="{00000000-0002-0000-0000-00000A000000}">
          <x14:formula1>
            <xm:f>zdroj!$D$72:$D$77</xm:f>
          </x14:formula1>
          <xm:sqref>C65</xm:sqref>
        </x14:dataValidation>
        <x14:dataValidation type="list" allowBlank="1" showInputMessage="1" showErrorMessage="1" xr:uid="{00000000-0002-0000-0000-00000B000000}">
          <x14:formula1>
            <xm:f>zdroj!$E$72:$E$77</xm:f>
          </x14:formula1>
          <xm:sqref>C66</xm:sqref>
        </x14:dataValidation>
        <x14:dataValidation type="list" allowBlank="1" showInputMessage="1" showErrorMessage="1" xr:uid="{00000000-0002-0000-0000-00000C000000}">
          <x14:formula1>
            <xm:f>zdroj!$F$72:$F$77</xm:f>
          </x14:formula1>
          <xm:sqref>C67</xm:sqref>
        </x14:dataValidation>
        <x14:dataValidation type="list" allowBlank="1" showInputMessage="1" showErrorMessage="1" xr:uid="{00000000-0002-0000-0000-00000D000000}">
          <x14:formula1>
            <xm:f>zdroj!$G$72:$G$77</xm:f>
          </x14:formula1>
          <xm:sqref>C68</xm:sqref>
        </x14:dataValidation>
        <x14:dataValidation type="list" allowBlank="1" showInputMessage="1" showErrorMessage="1" xr:uid="{00000000-0002-0000-0000-00000E000000}">
          <x14:formula1>
            <xm:f>zdroj!$D$79:$D$83</xm:f>
          </x14:formula1>
          <xm:sqref>C72</xm:sqref>
        </x14:dataValidation>
        <x14:dataValidation type="list" allowBlank="1" showInputMessage="1" showErrorMessage="1" xr:uid="{00000000-0002-0000-0000-00000F000000}">
          <x14:formula1>
            <xm:f>zdroj!$E$79:$E$83</xm:f>
          </x14:formula1>
          <xm:sqref>C73</xm:sqref>
        </x14:dataValidation>
        <x14:dataValidation type="list" allowBlank="1" showInputMessage="1" showErrorMessage="1" xr:uid="{00000000-0002-0000-0000-000010000000}">
          <x14:formula1>
            <xm:f>zdroj!$F$79:$F$83</xm:f>
          </x14:formula1>
          <xm:sqref>C74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rgb="FFFFFF00"/>
  </sheetPr>
  <dimension ref="A1:Y83"/>
  <sheetViews>
    <sheetView topLeftCell="M22" zoomScaleNormal="100" workbookViewId="0">
      <selection activeCell="Q28" sqref="Q28"/>
    </sheetView>
  </sheetViews>
  <sheetFormatPr defaultColWidth="9.140625" defaultRowHeight="15" x14ac:dyDescent="0.25"/>
  <cols>
    <col min="1" max="2" width="10.85546875" bestFit="1" customWidth="1"/>
    <col min="4" max="4" width="11.85546875" bestFit="1" customWidth="1"/>
    <col min="9" max="9" width="13" customWidth="1"/>
    <col min="13" max="13" width="69.85546875" customWidth="1"/>
    <col min="16" max="16" width="15.7109375" customWidth="1"/>
    <col min="17" max="17" width="17.85546875" customWidth="1"/>
    <col min="18" max="18" width="15" bestFit="1" customWidth="1"/>
    <col min="19" max="20" width="15.7109375" bestFit="1" customWidth="1"/>
  </cols>
  <sheetData>
    <row r="1" spans="1:20" x14ac:dyDescent="0.25">
      <c r="A1" t="b">
        <f>OR(C10=2,C10=3,C10=5,C10=6,C10=11)</f>
        <v>0</v>
      </c>
      <c r="C1">
        <v>1</v>
      </c>
      <c r="D1" t="s">
        <v>64</v>
      </c>
      <c r="L1">
        <f>CHOOSE($C$1,1,0,0,0,0,0,0)</f>
        <v>1</v>
      </c>
      <c r="M1" t="s">
        <v>170</v>
      </c>
      <c r="N1" t="s">
        <v>28</v>
      </c>
      <c r="R1" s="121" t="s">
        <v>234</v>
      </c>
    </row>
    <row r="2" spans="1:20" ht="17.25" customHeight="1" x14ac:dyDescent="0.25">
      <c r="A2" t="b">
        <f>AND(A1=TRUE,C1=6)</f>
        <v>0</v>
      </c>
      <c r="C2">
        <v>2</v>
      </c>
      <c r="D2" t="s">
        <v>127</v>
      </c>
      <c r="L2">
        <v>1</v>
      </c>
      <c r="M2" s="1" t="s">
        <v>3</v>
      </c>
      <c r="N2" s="8" t="s">
        <v>29</v>
      </c>
      <c r="O2">
        <f>IF(OR(AND(P2&gt;5,P2&lt;15),P2=16,P2=17,P2=20),1,0)</f>
        <v>0</v>
      </c>
      <c r="P2">
        <v>1</v>
      </c>
      <c r="Q2" s="10" t="s">
        <v>66</v>
      </c>
      <c r="R2" s="121">
        <v>1</v>
      </c>
    </row>
    <row r="3" spans="1:20" x14ac:dyDescent="0.25">
      <c r="D3" t="s">
        <v>128</v>
      </c>
      <c r="L3">
        <v>2</v>
      </c>
      <c r="M3" s="2" t="s">
        <v>5</v>
      </c>
      <c r="N3" s="8" t="s">
        <v>30</v>
      </c>
      <c r="Q3" s="119" t="s">
        <v>218</v>
      </c>
      <c r="R3" s="121">
        <v>2</v>
      </c>
      <c r="T3" t="s">
        <v>124</v>
      </c>
    </row>
    <row r="4" spans="1:20" x14ac:dyDescent="0.25">
      <c r="D4" t="s">
        <v>129</v>
      </c>
      <c r="L4">
        <v>3</v>
      </c>
      <c r="M4" s="2" t="s">
        <v>91</v>
      </c>
      <c r="N4" s="8" t="s">
        <v>31</v>
      </c>
      <c r="Q4" s="119" t="s">
        <v>215</v>
      </c>
      <c r="R4" s="121">
        <v>3</v>
      </c>
      <c r="T4" t="s">
        <v>124</v>
      </c>
    </row>
    <row r="5" spans="1:20" x14ac:dyDescent="0.25">
      <c r="D5" t="s">
        <v>130</v>
      </c>
      <c r="L5">
        <v>4</v>
      </c>
      <c r="M5" s="2" t="s">
        <v>6</v>
      </c>
      <c r="N5" s="8" t="s">
        <v>54</v>
      </c>
      <c r="Q5" s="119" t="s">
        <v>216</v>
      </c>
      <c r="R5" s="121">
        <v>4</v>
      </c>
      <c r="T5" t="s">
        <v>124</v>
      </c>
    </row>
    <row r="6" spans="1:20" x14ac:dyDescent="0.25">
      <c r="D6" t="s">
        <v>131</v>
      </c>
      <c r="L6">
        <v>5</v>
      </c>
      <c r="M6" s="3" t="s">
        <v>7</v>
      </c>
      <c r="N6" s="8" t="s">
        <v>55</v>
      </c>
      <c r="Q6" s="119" t="s">
        <v>217</v>
      </c>
      <c r="R6" s="121">
        <v>5</v>
      </c>
      <c r="T6" t="s">
        <v>124</v>
      </c>
    </row>
    <row r="7" spans="1:20" x14ac:dyDescent="0.25">
      <c r="D7" t="s">
        <v>132</v>
      </c>
      <c r="L7">
        <v>6</v>
      </c>
      <c r="M7" s="1" t="s">
        <v>8</v>
      </c>
      <c r="N7" s="8" t="s">
        <v>32</v>
      </c>
      <c r="Q7" s="118" t="s">
        <v>219</v>
      </c>
      <c r="R7" s="121"/>
      <c r="T7" t="s">
        <v>124</v>
      </c>
    </row>
    <row r="8" spans="1:20" x14ac:dyDescent="0.25">
      <c r="L8">
        <v>7</v>
      </c>
      <c r="M8" s="2" t="s">
        <v>10</v>
      </c>
      <c r="N8" s="8" t="s">
        <v>33</v>
      </c>
      <c r="Q8" s="118" t="s">
        <v>220</v>
      </c>
      <c r="R8" s="121"/>
    </row>
    <row r="9" spans="1:20" x14ac:dyDescent="0.25">
      <c r="L9">
        <v>8</v>
      </c>
      <c r="M9" s="3" t="s">
        <v>9</v>
      </c>
      <c r="N9" s="8" t="s">
        <v>34</v>
      </c>
      <c r="Q9" s="118" t="s">
        <v>221</v>
      </c>
      <c r="R9" s="121"/>
    </row>
    <row r="10" spans="1:20" x14ac:dyDescent="0.25">
      <c r="C10">
        <v>1</v>
      </c>
      <c r="D10" s="1" t="str">
        <f>CHOOSE($C$1,$M$1,M2,M7,M10,M20,M25,M36)</f>
        <v>Vyber nejprve Specifický cíl a poté hlavní Opatření projektu</v>
      </c>
      <c r="L10" s="4">
        <v>9</v>
      </c>
      <c r="M10" s="1" t="s">
        <v>92</v>
      </c>
      <c r="N10" s="4" t="s">
        <v>35</v>
      </c>
      <c r="Q10" s="118" t="s">
        <v>222</v>
      </c>
      <c r="R10" s="121"/>
    </row>
    <row r="11" spans="1:20" x14ac:dyDescent="0.25">
      <c r="D11" s="2" t="str">
        <f>CHOOSE($C$1,$M$1,M3,M8,M11,M21,M26,M37)</f>
        <v>Vyber nejprve Specifický cíl a poté hlavní Opatření projektu</v>
      </c>
      <c r="L11" s="12">
        <v>10</v>
      </c>
      <c r="M11" s="2" t="s">
        <v>93</v>
      </c>
      <c r="N11" s="12" t="s">
        <v>36</v>
      </c>
      <c r="Q11" s="118" t="s">
        <v>223</v>
      </c>
      <c r="R11" s="121"/>
      <c r="T11" t="s">
        <v>124</v>
      </c>
    </row>
    <row r="12" spans="1:20" x14ac:dyDescent="0.25">
      <c r="D12" s="2" t="str">
        <f>CHOOSE($C$1,$M$1,M4,M9,M12,M22,M27,M38)</f>
        <v>Vyber nejprve Specifický cíl a poté hlavní Opatření projektu</v>
      </c>
      <c r="L12">
        <v>11</v>
      </c>
      <c r="M12" s="2" t="s">
        <v>94</v>
      </c>
      <c r="N12" s="12" t="s">
        <v>37</v>
      </c>
      <c r="Q12" s="118" t="s">
        <v>224</v>
      </c>
      <c r="R12" s="121"/>
      <c r="T12" t="s">
        <v>124</v>
      </c>
    </row>
    <row r="13" spans="1:20" x14ac:dyDescent="0.25">
      <c r="D13" s="2" t="str">
        <f>CHOOSE($C$1,$M$1,M5,"irelevantní",M13,M23,M28,M39)</f>
        <v>Vyber nejprve Specifický cíl a poté hlavní Opatření projektu</v>
      </c>
      <c r="L13">
        <v>12</v>
      </c>
      <c r="M13" s="2" t="s">
        <v>95</v>
      </c>
      <c r="N13" s="12" t="s">
        <v>111</v>
      </c>
      <c r="Q13" s="118" t="s">
        <v>225</v>
      </c>
      <c r="R13" s="121"/>
    </row>
    <row r="14" spans="1:20" x14ac:dyDescent="0.25">
      <c r="D14" s="2" t="str">
        <f>CHOOSE($C$1,$M$1,M6,"irelevantní",M14,M24,M29,M40)</f>
        <v>Vyber nejprve Specifický cíl a poté hlavní Opatření projektu</v>
      </c>
      <c r="L14">
        <v>13</v>
      </c>
      <c r="M14" s="2" t="s">
        <v>96</v>
      </c>
      <c r="N14" s="12" t="s">
        <v>112</v>
      </c>
      <c r="Q14" s="118" t="s">
        <v>226</v>
      </c>
      <c r="R14" s="121"/>
    </row>
    <row r="15" spans="1:20" x14ac:dyDescent="0.25">
      <c r="D15" s="2" t="str">
        <f>CHOOSE($C$1,$M$1,"irelevantní","irelevantní",M15,"irelevantní",M30,M41)</f>
        <v>Vyber nejprve Specifický cíl a poté hlavní Opatření projektu</v>
      </c>
      <c r="I15" t="s">
        <v>89</v>
      </c>
      <c r="L15">
        <v>14</v>
      </c>
      <c r="M15" s="2" t="s">
        <v>97</v>
      </c>
      <c r="N15" s="12" t="s">
        <v>113</v>
      </c>
      <c r="Q15" s="118" t="s">
        <v>227</v>
      </c>
      <c r="R15" s="121"/>
    </row>
    <row r="16" spans="1:20" x14ac:dyDescent="0.25">
      <c r="D16" s="2" t="str">
        <f>CHOOSE($C$1,$M$1,"irelevantní","irelevantní",M16,"irelevantní",M31,M42)</f>
        <v>Vyber nejprve Specifický cíl a poté hlavní Opatření projektu</v>
      </c>
      <c r="I16" s="10">
        <v>24.739000000000001</v>
      </c>
      <c r="L16">
        <v>15</v>
      </c>
      <c r="M16" s="2" t="s">
        <v>98</v>
      </c>
      <c r="N16" s="12" t="s">
        <v>114</v>
      </c>
      <c r="Q16" s="119" t="s">
        <v>228</v>
      </c>
      <c r="R16" s="121">
        <v>15</v>
      </c>
    </row>
    <row r="17" spans="2:25" x14ac:dyDescent="0.25">
      <c r="D17" s="2" t="str">
        <f>CHOOSE($C$1,$M$1,"irelevantní","irelevantní",M17,"irelevantní",M32,M43)</f>
        <v>Vyber nejprve Specifický cíl a poté hlavní Opatření projektu</v>
      </c>
      <c r="I17" t="s">
        <v>90</v>
      </c>
      <c r="L17">
        <v>16</v>
      </c>
      <c r="M17" s="2" t="s">
        <v>99</v>
      </c>
      <c r="N17" s="12" t="s">
        <v>115</v>
      </c>
      <c r="Q17" s="118" t="s">
        <v>229</v>
      </c>
      <c r="R17" s="121"/>
    </row>
    <row r="18" spans="2:25" x14ac:dyDescent="0.25">
      <c r="D18" s="2" t="str">
        <f>CHOOSE($C$1,$M$1,"irelevantní","irelevantní",M18,"irelevantní",M33,"irelevantní")</f>
        <v>Vyber nejprve Specifický cíl a poté hlavní Opatření projektu</v>
      </c>
      <c r="L18">
        <v>17</v>
      </c>
      <c r="M18" s="2" t="s">
        <v>100</v>
      </c>
      <c r="N18" s="12" t="s">
        <v>116</v>
      </c>
      <c r="Q18" s="118" t="s">
        <v>230</v>
      </c>
      <c r="R18" s="121"/>
    </row>
    <row r="19" spans="2:25" x14ac:dyDescent="0.25">
      <c r="D19" s="2" t="str">
        <f>CHOOSE($C$1,$M$1,"irelevantní","irelevantní",M19,"irelevantní",M34,"irelevantní")</f>
        <v>Vyber nejprve Specifický cíl a poté hlavní Opatření projektu</v>
      </c>
      <c r="L19">
        <v>18</v>
      </c>
      <c r="M19" s="2" t="s">
        <v>101</v>
      </c>
      <c r="N19" s="12" t="s">
        <v>117</v>
      </c>
      <c r="Q19" s="119" t="s">
        <v>231</v>
      </c>
      <c r="R19" s="121">
        <v>18</v>
      </c>
    </row>
    <row r="20" spans="2:25" x14ac:dyDescent="0.25">
      <c r="D20" s="2" t="str">
        <f>CHOOSE($C$1,$M$1,"irelevantní","irelevantní","irelevantní","irelevantní",M35,"irelevantní")</f>
        <v>Vyber nejprve Specifický cíl a poté hlavní Opatření projektu</v>
      </c>
      <c r="L20">
        <v>19</v>
      </c>
      <c r="M20" s="1" t="s">
        <v>102</v>
      </c>
      <c r="N20" s="8" t="s">
        <v>38</v>
      </c>
      <c r="Q20" s="120" t="s">
        <v>232</v>
      </c>
      <c r="R20" s="121">
        <v>19</v>
      </c>
      <c r="Y20" s="20"/>
    </row>
    <row r="21" spans="2:25" x14ac:dyDescent="0.25">
      <c r="L21">
        <v>20</v>
      </c>
      <c r="M21" s="2" t="s">
        <v>12</v>
      </c>
      <c r="N21" s="8" t="s">
        <v>39</v>
      </c>
      <c r="Q21" s="118" t="s">
        <v>233</v>
      </c>
      <c r="R21" s="121"/>
      <c r="Y21" s="20"/>
    </row>
    <row r="22" spans="2:25" x14ac:dyDescent="0.25">
      <c r="L22">
        <v>21</v>
      </c>
      <c r="M22" s="2" t="s">
        <v>13</v>
      </c>
      <c r="N22" s="8" t="s">
        <v>40</v>
      </c>
      <c r="Y22" s="20"/>
    </row>
    <row r="23" spans="2:25" x14ac:dyDescent="0.25">
      <c r="B23">
        <f>IF(AND(C1=4,C10=1),9,IF(AND(C1=7,C10=1),35,IF(AND(C1=7,C10=2),36,0)))</f>
        <v>0</v>
      </c>
      <c r="C23">
        <v>2</v>
      </c>
      <c r="D23" t="str">
        <f>IF($B$23=9,D31,IF($B$23=35,D36,IF($B$23=36,D41,"irelevantní")))</f>
        <v>irelevantní</v>
      </c>
      <c r="L23">
        <v>22</v>
      </c>
      <c r="M23" s="2" t="s">
        <v>14</v>
      </c>
      <c r="N23" s="8" t="s">
        <v>41</v>
      </c>
      <c r="Y23" s="20"/>
    </row>
    <row r="24" spans="2:25" x14ac:dyDescent="0.25">
      <c r="B24">
        <v>1</v>
      </c>
      <c r="D24" t="str">
        <f t="shared" ref="D24" si="0">IF($B$23=9,D32,IF($B$23=35,D37,IF($B$23=36,D42,"irelevantní")))</f>
        <v>irelevantní</v>
      </c>
      <c r="L24">
        <v>23</v>
      </c>
      <c r="M24" s="3" t="s">
        <v>15</v>
      </c>
      <c r="N24" s="8" t="s">
        <v>42</v>
      </c>
      <c r="Y24" s="20"/>
    </row>
    <row r="25" spans="2:25" x14ac:dyDescent="0.25">
      <c r="D25" t="str">
        <f>IF($B$23=9,D33,IF($B$23=35,D38,"irelevantní"))</f>
        <v>irelevantní</v>
      </c>
      <c r="L25">
        <v>24</v>
      </c>
      <c r="M25" s="1" t="s">
        <v>16</v>
      </c>
      <c r="N25" s="16" t="s">
        <v>43</v>
      </c>
      <c r="Y25" s="20"/>
    </row>
    <row r="26" spans="2:25" x14ac:dyDescent="0.25">
      <c r="D26" t="str">
        <f>IF($B$23=9,D34,IF($B$23=35,D39,"irelevantní"))</f>
        <v>irelevantní</v>
      </c>
      <c r="L26">
        <v>25</v>
      </c>
      <c r="M26" s="2" t="s">
        <v>17</v>
      </c>
      <c r="N26" s="16" t="s">
        <v>44</v>
      </c>
      <c r="P26">
        <v>4</v>
      </c>
      <c r="Q26" t="s">
        <v>153</v>
      </c>
      <c r="Y26" s="20"/>
    </row>
    <row r="27" spans="2:25" x14ac:dyDescent="0.25">
      <c r="D27" t="str">
        <f>IF($B$23=9,D35,IF($B$23=35,D40,"irelevantní"))</f>
        <v>irelevantní</v>
      </c>
      <c r="L27">
        <v>26</v>
      </c>
      <c r="M27" s="2" t="s">
        <v>18</v>
      </c>
      <c r="N27" s="16" t="s">
        <v>45</v>
      </c>
      <c r="Q27" t="s">
        <v>257</v>
      </c>
      <c r="Y27" s="20"/>
    </row>
    <row r="28" spans="2:25" x14ac:dyDescent="0.25">
      <c r="L28">
        <v>27</v>
      </c>
      <c r="M28" s="2" t="s">
        <v>19</v>
      </c>
      <c r="N28" s="16" t="s">
        <v>46</v>
      </c>
      <c r="Q28" t="s">
        <v>154</v>
      </c>
      <c r="Y28" s="20"/>
    </row>
    <row r="29" spans="2:25" x14ac:dyDescent="0.25">
      <c r="L29">
        <v>28</v>
      </c>
      <c r="M29" s="2" t="s">
        <v>26</v>
      </c>
      <c r="N29" s="16" t="s">
        <v>47</v>
      </c>
      <c r="Q29" t="s">
        <v>77</v>
      </c>
      <c r="Y29" s="20"/>
    </row>
    <row r="30" spans="2:25" x14ac:dyDescent="0.25">
      <c r="D30" t="s">
        <v>27</v>
      </c>
      <c r="L30">
        <v>29</v>
      </c>
      <c r="M30" s="2" t="s">
        <v>20</v>
      </c>
      <c r="N30" s="16" t="s">
        <v>48</v>
      </c>
      <c r="P30" s="154" t="str">
        <f>IF(KR!I23&gt;10000000,"0,035",IF(KR!I23&lt;3000000,",07",",05"))</f>
        <v>0,035</v>
      </c>
      <c r="Q30" s="155" t="s">
        <v>73</v>
      </c>
      <c r="R30" s="149" t="s">
        <v>85</v>
      </c>
      <c r="Y30" s="20"/>
    </row>
    <row r="31" spans="2:25" ht="15.75" thickBot="1" x14ac:dyDescent="0.3">
      <c r="C31" s="5" t="s">
        <v>155</v>
      </c>
      <c r="D31" s="4" t="s">
        <v>133</v>
      </c>
      <c r="L31">
        <v>30</v>
      </c>
      <c r="M31" s="2" t="s">
        <v>21</v>
      </c>
      <c r="N31" s="16" t="s">
        <v>49</v>
      </c>
      <c r="P31" s="150"/>
      <c r="R31" s="151" t="s">
        <v>87</v>
      </c>
      <c r="Y31" s="20"/>
    </row>
    <row r="32" spans="2:25" ht="15.75" thickBot="1" x14ac:dyDescent="0.3">
      <c r="C32" s="13" t="s">
        <v>156</v>
      </c>
      <c r="D32" s="4" t="s">
        <v>134</v>
      </c>
      <c r="L32">
        <v>31</v>
      </c>
      <c r="M32" s="2" t="s">
        <v>22</v>
      </c>
      <c r="N32" s="16" t="s">
        <v>50</v>
      </c>
      <c r="P32" s="159" t="str">
        <f>IF(OR(C1=4,C1=7),P33,P30)</f>
        <v>0,035</v>
      </c>
      <c r="Q32" s="152"/>
      <c r="R32" s="153" t="s">
        <v>86</v>
      </c>
      <c r="Y32" s="20"/>
    </row>
    <row r="33" spans="3:25" x14ac:dyDescent="0.25">
      <c r="D33" s="4" t="s">
        <v>135</v>
      </c>
      <c r="L33">
        <v>32</v>
      </c>
      <c r="M33" s="2" t="s">
        <v>23</v>
      </c>
      <c r="N33" s="16" t="s">
        <v>51</v>
      </c>
      <c r="P33" s="158" t="str">
        <f>IF(KR!I23&gt;10000000,"0,05",",07")</f>
        <v>0,05</v>
      </c>
      <c r="Q33" s="156"/>
      <c r="R33" s="149" t="s">
        <v>253</v>
      </c>
      <c r="Y33" s="20"/>
    </row>
    <row r="34" spans="3:25" x14ac:dyDescent="0.25">
      <c r="D34" s="4" t="s">
        <v>136</v>
      </c>
      <c r="L34">
        <v>33</v>
      </c>
      <c r="M34" s="2" t="s">
        <v>24</v>
      </c>
      <c r="N34" s="16" t="s">
        <v>52</v>
      </c>
      <c r="P34" s="157" t="s">
        <v>254</v>
      </c>
      <c r="Q34" s="152"/>
      <c r="R34" s="153" t="s">
        <v>252</v>
      </c>
      <c r="Y34" s="20"/>
    </row>
    <row r="35" spans="3:25" x14ac:dyDescent="0.25">
      <c r="D35" s="4" t="s">
        <v>137</v>
      </c>
      <c r="L35">
        <v>34</v>
      </c>
      <c r="M35" s="3" t="s">
        <v>25</v>
      </c>
      <c r="N35" s="16" t="s">
        <v>53</v>
      </c>
      <c r="P35">
        <v>1</v>
      </c>
      <c r="Q35" t="s">
        <v>158</v>
      </c>
      <c r="Y35" s="20"/>
    </row>
    <row r="36" spans="3:25" x14ac:dyDescent="0.25">
      <c r="C36" s="18" t="s">
        <v>157</v>
      </c>
      <c r="D36" s="6" t="s">
        <v>138</v>
      </c>
      <c r="L36" s="6">
        <v>35</v>
      </c>
      <c r="M36" s="1" t="s">
        <v>103</v>
      </c>
      <c r="N36" s="17" t="s">
        <v>56</v>
      </c>
      <c r="Q36" t="s">
        <v>246</v>
      </c>
      <c r="Y36" s="20"/>
    </row>
    <row r="37" spans="3:25" x14ac:dyDescent="0.25">
      <c r="D37" s="6" t="s">
        <v>139</v>
      </c>
      <c r="L37" s="7">
        <v>36</v>
      </c>
      <c r="M37" s="2" t="s">
        <v>104</v>
      </c>
      <c r="N37" s="9" t="s">
        <v>57</v>
      </c>
      <c r="Q37" t="s">
        <v>75</v>
      </c>
    </row>
    <row r="38" spans="3:25" x14ac:dyDescent="0.25">
      <c r="D38" s="6" t="s">
        <v>140</v>
      </c>
      <c r="L38">
        <v>37</v>
      </c>
      <c r="M38" s="2" t="s">
        <v>105</v>
      </c>
      <c r="N38" s="8" t="s">
        <v>58</v>
      </c>
      <c r="Q38" t="s">
        <v>76</v>
      </c>
    </row>
    <row r="39" spans="3:25" x14ac:dyDescent="0.25">
      <c r="D39" s="6" t="s">
        <v>141</v>
      </c>
      <c r="L39">
        <v>38</v>
      </c>
      <c r="M39" s="2" t="s">
        <v>108</v>
      </c>
      <c r="N39" s="8" t="s">
        <v>59</v>
      </c>
    </row>
    <row r="40" spans="3:25" x14ac:dyDescent="0.25">
      <c r="D40" s="6" t="s">
        <v>142</v>
      </c>
      <c r="L40">
        <v>39</v>
      </c>
      <c r="M40" s="2" t="s">
        <v>106</v>
      </c>
      <c r="N40" s="8" t="s">
        <v>60</v>
      </c>
      <c r="P40" s="11" t="e">
        <f>CHOOSE(P26,KR!F27-KR!G27*(1+(KR!E27/100)),KR!D27-KR!G27,KR!F27-KR!G27*(1+(KR!E27/100)))</f>
        <v>#VALUE!</v>
      </c>
      <c r="Q40" t="s">
        <v>83</v>
      </c>
      <c r="R40" s="11" t="e">
        <f>P40</f>
        <v>#VALUE!</v>
      </c>
    </row>
    <row r="41" spans="3:25" x14ac:dyDescent="0.25">
      <c r="D41" s="7" t="s">
        <v>143</v>
      </c>
      <c r="L41">
        <v>40</v>
      </c>
      <c r="M41" s="2" t="s">
        <v>107</v>
      </c>
      <c r="N41" s="8" t="s">
        <v>61</v>
      </c>
      <c r="P41" s="11" t="e">
        <f>IF((P32*(KR!I18+KR!I20))&gt;15000000,15000000,(P32*(KR!I18+KR!I20)))</f>
        <v>#VALUE!</v>
      </c>
      <c r="Q41" t="s">
        <v>84</v>
      </c>
      <c r="R41" s="11" t="e">
        <f>P41</f>
        <v>#VALUE!</v>
      </c>
      <c r="S41" s="11" t="e">
        <f>R40-R41</f>
        <v>#VALUE!</v>
      </c>
      <c r="T41" s="11" t="e">
        <f>S41*1.21</f>
        <v>#VALUE!</v>
      </c>
    </row>
    <row r="42" spans="3:25" x14ac:dyDescent="0.25">
      <c r="D42" s="7" t="s">
        <v>144</v>
      </c>
      <c r="L42">
        <v>41</v>
      </c>
      <c r="M42" s="2" t="s">
        <v>109</v>
      </c>
      <c r="N42" s="8" t="s">
        <v>62</v>
      </c>
    </row>
    <row r="43" spans="3:25" x14ac:dyDescent="0.25">
      <c r="L43">
        <v>42</v>
      </c>
      <c r="M43" s="3" t="s">
        <v>110</v>
      </c>
      <c r="N43" s="8" t="s">
        <v>63</v>
      </c>
      <c r="P43" s="11">
        <v>10000</v>
      </c>
      <c r="Q43">
        <v>21</v>
      </c>
      <c r="R43" s="11">
        <f>P43*(1+(Q43/100))</f>
        <v>12100</v>
      </c>
      <c r="S43" s="11" t="e">
        <f>P43*(1+(Q43/100))+IF(P40&gt;P41,P40-P41,0)</f>
        <v>#VALUE!</v>
      </c>
    </row>
    <row r="44" spans="3:25" x14ac:dyDescent="0.25">
      <c r="M44" s="2"/>
      <c r="S44" s="11"/>
    </row>
    <row r="45" spans="3:25" x14ac:dyDescent="0.25">
      <c r="D45" t="s">
        <v>118</v>
      </c>
      <c r="S45" s="11" t="e">
        <f>P43*(Q43/100)+P43+IF(P40&gt;P41,P40-P41,0)</f>
        <v>#VALUE!</v>
      </c>
    </row>
    <row r="46" spans="3:25" x14ac:dyDescent="0.25">
      <c r="D46" s="5" t="s">
        <v>152</v>
      </c>
    </row>
    <row r="47" spans="3:25" x14ac:dyDescent="0.25">
      <c r="D47" s="5" t="s">
        <v>145</v>
      </c>
      <c r="L47">
        <v>1</v>
      </c>
      <c r="M47" t="str">
        <f>IF(AND($B$23=9,$B$24=1),D46,IF(AND($B$23=9,$B$24=2),D50,IF(AND($B$23=35,$B$24=1),D52,"irelevantní")))</f>
        <v>irelevantní</v>
      </c>
    </row>
    <row r="48" spans="3:25" x14ac:dyDescent="0.25">
      <c r="D48" s="5" t="s">
        <v>146</v>
      </c>
      <c r="M48" t="str">
        <f>IF(AND($B$23=9,$B$24=1),D47,IF(AND($B$23=9,$B$24=2),D51,IF(AND($B$23=35,$B$24=1),D53,"irelevantní")))</f>
        <v>irelevantní</v>
      </c>
    </row>
    <row r="49" spans="1:17" x14ac:dyDescent="0.25">
      <c r="D49" s="5" t="s">
        <v>147</v>
      </c>
      <c r="M49" t="str">
        <f>IF(AND($B$23=9,$B$24=1),D48,"irelevantní")</f>
        <v>irelevantní</v>
      </c>
    </row>
    <row r="50" spans="1:17" x14ac:dyDescent="0.25">
      <c r="D50" s="14" t="s">
        <v>148</v>
      </c>
      <c r="M50" t="str">
        <f>IF(AND($B$23=9,$B$24=1),D49,"irelevantní")</f>
        <v>irelevantní</v>
      </c>
    </row>
    <row r="51" spans="1:17" x14ac:dyDescent="0.25">
      <c r="D51" s="14" t="s">
        <v>149</v>
      </c>
    </row>
    <row r="52" spans="1:17" x14ac:dyDescent="0.25">
      <c r="D52" s="15" t="s">
        <v>150</v>
      </c>
    </row>
    <row r="53" spans="1:17" x14ac:dyDescent="0.25">
      <c r="D53" s="15" t="s">
        <v>151</v>
      </c>
    </row>
    <row r="54" spans="1:17" x14ac:dyDescent="0.25">
      <c r="D54" s="12"/>
    </row>
    <row r="55" spans="1:17" x14ac:dyDescent="0.25">
      <c r="D55" s="12"/>
    </row>
    <row r="56" spans="1:17" x14ac:dyDescent="0.25">
      <c r="A56">
        <f>IF(B56=TRUE,1,0)</f>
        <v>0</v>
      </c>
      <c r="B56" t="b">
        <v>0</v>
      </c>
      <c r="C56" t="s">
        <v>167</v>
      </c>
    </row>
    <row r="57" spans="1:17" x14ac:dyDescent="0.25">
      <c r="A57">
        <f t="shared" ref="A57:A58" si="1">IF(B57=TRUE,1,0)</f>
        <v>0</v>
      </c>
      <c r="B57" t="b">
        <v>0</v>
      </c>
      <c r="C57" t="s">
        <v>168</v>
      </c>
    </row>
    <row r="58" spans="1:17" ht="15.75" thickBot="1" x14ac:dyDescent="0.3">
      <c r="A58">
        <f t="shared" si="1"/>
        <v>0</v>
      </c>
      <c r="B58" t="b">
        <v>0</v>
      </c>
      <c r="C58" t="s">
        <v>169</v>
      </c>
      <c r="D58">
        <v>2</v>
      </c>
      <c r="H58">
        <v>6</v>
      </c>
      <c r="K58">
        <v>9</v>
      </c>
    </row>
    <row r="59" spans="1:17" x14ac:dyDescent="0.25">
      <c r="D59" s="21" t="s">
        <v>181</v>
      </c>
      <c r="E59" t="s">
        <v>182</v>
      </c>
      <c r="F59" t="s">
        <v>183</v>
      </c>
      <c r="G59" t="s">
        <v>184</v>
      </c>
      <c r="H59" t="s">
        <v>185</v>
      </c>
      <c r="I59" t="s">
        <v>186</v>
      </c>
      <c r="J59" t="s">
        <v>187</v>
      </c>
      <c r="K59" t="s">
        <v>188</v>
      </c>
      <c r="L59" t="s">
        <v>189</v>
      </c>
      <c r="M59" t="s">
        <v>190</v>
      </c>
      <c r="P59" t="str">
        <f>KR!C52</f>
        <v>vyber Opatření #2</v>
      </c>
      <c r="Q59">
        <f>IF(P59="vyber Opatření #2",0,1)</f>
        <v>0</v>
      </c>
    </row>
    <row r="60" spans="1:17" x14ac:dyDescent="0.25">
      <c r="D60" s="22" t="str">
        <f t="shared" ref="D60:M60" si="2">CHOOSE($C$1,"",$M$2,$M$7,$M$10,$M$20,$M$25,$M$36)</f>
        <v/>
      </c>
      <c r="E60" s="22" t="str">
        <f t="shared" si="2"/>
        <v/>
      </c>
      <c r="F60" s="22" t="str">
        <f t="shared" si="2"/>
        <v/>
      </c>
      <c r="G60" s="22" t="str">
        <f t="shared" si="2"/>
        <v/>
      </c>
      <c r="H60" s="22" t="str">
        <f t="shared" si="2"/>
        <v/>
      </c>
      <c r="I60" s="22" t="str">
        <f t="shared" si="2"/>
        <v/>
      </c>
      <c r="J60" s="22" t="str">
        <f t="shared" si="2"/>
        <v/>
      </c>
      <c r="K60" s="22" t="str">
        <f t="shared" si="2"/>
        <v/>
      </c>
      <c r="L60" s="22" t="str">
        <f t="shared" si="2"/>
        <v/>
      </c>
      <c r="M60" s="22" t="str">
        <f t="shared" si="2"/>
        <v/>
      </c>
      <c r="P60" t="str">
        <f>KR!C53</f>
        <v>vyber Opatření #3</v>
      </c>
      <c r="Q60">
        <f>IF(P60="vyber Opatření #3",0,1)</f>
        <v>0</v>
      </c>
    </row>
    <row r="61" spans="1:17" x14ac:dyDescent="0.25">
      <c r="D61" s="22" t="str">
        <f t="shared" ref="D61:M61" si="3">CHOOSE($C$1,"",$M$3,$M$8,$M$11,$M$21,$M$26,$M$37)</f>
        <v/>
      </c>
      <c r="E61" s="22" t="str">
        <f t="shared" si="3"/>
        <v/>
      </c>
      <c r="F61" s="22" t="str">
        <f t="shared" si="3"/>
        <v/>
      </c>
      <c r="G61" s="22" t="str">
        <f t="shared" si="3"/>
        <v/>
      </c>
      <c r="H61" s="22" t="str">
        <f t="shared" si="3"/>
        <v/>
      </c>
      <c r="I61" s="22" t="str">
        <f t="shared" si="3"/>
        <v/>
      </c>
      <c r="J61" s="22" t="str">
        <f t="shared" si="3"/>
        <v/>
      </c>
      <c r="K61" s="22" t="str">
        <f t="shared" si="3"/>
        <v/>
      </c>
      <c r="L61" s="22" t="str">
        <f t="shared" si="3"/>
        <v/>
      </c>
      <c r="M61" s="22" t="str">
        <f t="shared" si="3"/>
        <v/>
      </c>
      <c r="P61" t="str">
        <f>KR!C54</f>
        <v>vyber Opatření #4</v>
      </c>
      <c r="Q61">
        <f>IF(P61="vyber Opatření #4",0,1)</f>
        <v>0</v>
      </c>
    </row>
    <row r="62" spans="1:17" x14ac:dyDescent="0.25">
      <c r="D62" s="22" t="str">
        <f t="shared" ref="D62:M62" si="4">CHOOSE($C$1,"",$M$4,$M$9,$M$12,$M$22,$M$27,$M$38)</f>
        <v/>
      </c>
      <c r="E62" s="22" t="str">
        <f t="shared" si="4"/>
        <v/>
      </c>
      <c r="F62" s="22" t="str">
        <f t="shared" si="4"/>
        <v/>
      </c>
      <c r="G62" s="22" t="str">
        <f t="shared" si="4"/>
        <v/>
      </c>
      <c r="H62" s="22" t="str">
        <f t="shared" si="4"/>
        <v/>
      </c>
      <c r="I62" s="22" t="str">
        <f t="shared" si="4"/>
        <v/>
      </c>
      <c r="J62" s="22" t="str">
        <f t="shared" si="4"/>
        <v/>
      </c>
      <c r="K62" s="22" t="str">
        <f t="shared" si="4"/>
        <v/>
      </c>
      <c r="L62" s="22" t="str">
        <f t="shared" si="4"/>
        <v/>
      </c>
      <c r="M62" s="22" t="str">
        <f t="shared" si="4"/>
        <v/>
      </c>
      <c r="P62" t="str">
        <f>KR!C55</f>
        <v>vyber Opatření #5</v>
      </c>
      <c r="Q62">
        <f>IF(P62="vyber Opatření #5",0,1)</f>
        <v>0</v>
      </c>
    </row>
    <row r="63" spans="1:17" x14ac:dyDescent="0.25">
      <c r="D63" s="22" t="str">
        <f t="shared" ref="D63:M63" si="5">CHOOSE($C$1,"","","",$M$13,$M$23,$M$28,$M$39)</f>
        <v/>
      </c>
      <c r="E63" s="22" t="str">
        <f t="shared" si="5"/>
        <v/>
      </c>
      <c r="F63" s="22" t="str">
        <f t="shared" si="5"/>
        <v/>
      </c>
      <c r="G63" s="22" t="str">
        <f t="shared" si="5"/>
        <v/>
      </c>
      <c r="H63" s="22" t="str">
        <f t="shared" si="5"/>
        <v/>
      </c>
      <c r="I63" s="22" t="str">
        <f t="shared" si="5"/>
        <v/>
      </c>
      <c r="J63" s="22" t="str">
        <f t="shared" si="5"/>
        <v/>
      </c>
      <c r="K63" s="22" t="str">
        <f t="shared" si="5"/>
        <v/>
      </c>
      <c r="L63" s="22" t="str">
        <f t="shared" si="5"/>
        <v/>
      </c>
      <c r="M63" s="22" t="str">
        <f t="shared" si="5"/>
        <v/>
      </c>
      <c r="Q63" s="10">
        <f>SUM(Q59:Q62)</f>
        <v>0</v>
      </c>
    </row>
    <row r="64" spans="1:17" x14ac:dyDescent="0.25">
      <c r="D64" s="22" t="str">
        <f t="shared" ref="D64:M64" si="6">CHOOSE($C$1,"","","",$M$14,$M$24,$M$29,$M$40)</f>
        <v/>
      </c>
      <c r="E64" s="22" t="str">
        <f t="shared" si="6"/>
        <v/>
      </c>
      <c r="F64" s="22" t="str">
        <f t="shared" si="6"/>
        <v/>
      </c>
      <c r="G64" s="22" t="str">
        <f t="shared" si="6"/>
        <v/>
      </c>
      <c r="H64" s="22" t="str">
        <f t="shared" si="6"/>
        <v/>
      </c>
      <c r="I64" s="22" t="str">
        <f t="shared" si="6"/>
        <v/>
      </c>
      <c r="J64" s="22" t="str">
        <f t="shared" si="6"/>
        <v/>
      </c>
      <c r="K64" s="22" t="str">
        <f t="shared" si="6"/>
        <v/>
      </c>
      <c r="L64" s="22" t="str">
        <f t="shared" si="6"/>
        <v/>
      </c>
      <c r="M64" s="22" t="str">
        <f t="shared" si="6"/>
        <v/>
      </c>
      <c r="P64" t="s">
        <v>124</v>
      </c>
    </row>
    <row r="65" spans="4:17" x14ac:dyDescent="0.25">
      <c r="D65" s="22" t="str">
        <f t="shared" ref="D65:M65" si="7">CHOOSE($C$1,"","","",$M$15,"",$M$30,$M$41)</f>
        <v/>
      </c>
      <c r="E65" s="22" t="str">
        <f t="shared" si="7"/>
        <v/>
      </c>
      <c r="F65" s="22" t="str">
        <f t="shared" si="7"/>
        <v/>
      </c>
      <c r="G65" s="22" t="str">
        <f t="shared" si="7"/>
        <v/>
      </c>
      <c r="H65" s="22" t="str">
        <f t="shared" si="7"/>
        <v/>
      </c>
      <c r="I65" s="22" t="str">
        <f t="shared" si="7"/>
        <v/>
      </c>
      <c r="J65" s="22" t="str">
        <f t="shared" si="7"/>
        <v/>
      </c>
      <c r="K65" s="22" t="str">
        <f t="shared" si="7"/>
        <v/>
      </c>
      <c r="L65" s="22" t="str">
        <f t="shared" si="7"/>
        <v/>
      </c>
      <c r="M65" s="22" t="str">
        <f t="shared" si="7"/>
        <v/>
      </c>
      <c r="P65" t="str">
        <f>KR!C65</f>
        <v>vyber Aktivitu #2</v>
      </c>
      <c r="Q65">
        <f>IF(P65="vyber Aktivitu #2",0,1)</f>
        <v>0</v>
      </c>
    </row>
    <row r="66" spans="4:17" x14ac:dyDescent="0.25">
      <c r="D66" s="22" t="str">
        <f t="shared" ref="D66:M66" si="8">CHOOSE($C$1,"","","",$M$16,"",$M$31,$M$42)</f>
        <v/>
      </c>
      <c r="E66" s="22" t="str">
        <f t="shared" si="8"/>
        <v/>
      </c>
      <c r="F66" s="22" t="str">
        <f t="shared" si="8"/>
        <v/>
      </c>
      <c r="G66" s="22" t="str">
        <f t="shared" si="8"/>
        <v/>
      </c>
      <c r="H66" s="22" t="str">
        <f t="shared" si="8"/>
        <v/>
      </c>
      <c r="I66" s="22" t="str">
        <f t="shared" si="8"/>
        <v/>
      </c>
      <c r="J66" s="22" t="str">
        <f t="shared" si="8"/>
        <v/>
      </c>
      <c r="K66" s="22" t="str">
        <f t="shared" si="8"/>
        <v/>
      </c>
      <c r="L66" s="22" t="str">
        <f t="shared" si="8"/>
        <v/>
      </c>
      <c r="M66" s="22" t="str">
        <f t="shared" si="8"/>
        <v/>
      </c>
      <c r="P66" t="str">
        <f>KR!C66</f>
        <v>vyber Aktivitu #3</v>
      </c>
      <c r="Q66">
        <f>IF(P66="vyber Aktivitu #3",0,1)</f>
        <v>0</v>
      </c>
    </row>
    <row r="67" spans="4:17" x14ac:dyDescent="0.25">
      <c r="D67" s="22" t="str">
        <f t="shared" ref="D67:M67" si="9">CHOOSE($C$1,"","","",$M$17,"",$M$32,$M$43)</f>
        <v/>
      </c>
      <c r="E67" s="22" t="str">
        <f t="shared" si="9"/>
        <v/>
      </c>
      <c r="F67" s="22" t="str">
        <f t="shared" si="9"/>
        <v/>
      </c>
      <c r="G67" s="22" t="str">
        <f t="shared" si="9"/>
        <v/>
      </c>
      <c r="H67" s="22" t="str">
        <f t="shared" si="9"/>
        <v/>
      </c>
      <c r="I67" s="22" t="str">
        <f t="shared" si="9"/>
        <v/>
      </c>
      <c r="J67" s="22" t="str">
        <f t="shared" si="9"/>
        <v/>
      </c>
      <c r="K67" s="22" t="str">
        <f t="shared" si="9"/>
        <v/>
      </c>
      <c r="L67" s="22" t="str">
        <f t="shared" si="9"/>
        <v/>
      </c>
      <c r="M67" s="22" t="str">
        <f t="shared" si="9"/>
        <v/>
      </c>
      <c r="P67" t="str">
        <f>KR!C67</f>
        <v>vyber Aktivitu #4</v>
      </c>
      <c r="Q67">
        <f>IF(P67="vyber Aktivitu #4",0,1)</f>
        <v>0</v>
      </c>
    </row>
    <row r="68" spans="4:17" x14ac:dyDescent="0.25">
      <c r="D68" s="22" t="str">
        <f t="shared" ref="D68:M68" si="10">CHOOSE($C$1,"","","",$M$18,"",$M$33,"")</f>
        <v/>
      </c>
      <c r="E68" s="22" t="str">
        <f t="shared" si="10"/>
        <v/>
      </c>
      <c r="F68" s="22" t="str">
        <f t="shared" si="10"/>
        <v/>
      </c>
      <c r="G68" s="22" t="str">
        <f t="shared" si="10"/>
        <v/>
      </c>
      <c r="H68" s="22" t="str">
        <f t="shared" si="10"/>
        <v/>
      </c>
      <c r="I68" s="22" t="str">
        <f t="shared" si="10"/>
        <v/>
      </c>
      <c r="J68" s="22" t="str">
        <f t="shared" si="10"/>
        <v/>
      </c>
      <c r="K68" s="22" t="str">
        <f t="shared" si="10"/>
        <v/>
      </c>
      <c r="L68" s="22" t="str">
        <f t="shared" si="10"/>
        <v/>
      </c>
      <c r="M68" s="22" t="str">
        <f t="shared" si="10"/>
        <v/>
      </c>
      <c r="P68" t="str">
        <f>KR!C68</f>
        <v>vyber Aktivitu #5</v>
      </c>
      <c r="Q68">
        <f>IF(P68="vyber Aktivitu #5",0,1)</f>
        <v>0</v>
      </c>
    </row>
    <row r="69" spans="4:17" x14ac:dyDescent="0.25">
      <c r="D69" s="22" t="str">
        <f t="shared" ref="D69:M69" si="11">CHOOSE($C$1,"","","",$M$19,"",$M$34,"")</f>
        <v/>
      </c>
      <c r="E69" s="22" t="str">
        <f t="shared" si="11"/>
        <v/>
      </c>
      <c r="F69" s="22" t="str">
        <f t="shared" si="11"/>
        <v/>
      </c>
      <c r="G69" s="22" t="str">
        <f t="shared" si="11"/>
        <v/>
      </c>
      <c r="H69" s="22" t="str">
        <f t="shared" si="11"/>
        <v/>
      </c>
      <c r="I69" s="22" t="str">
        <f t="shared" si="11"/>
        <v/>
      </c>
      <c r="J69" s="22" t="str">
        <f t="shared" si="11"/>
        <v/>
      </c>
      <c r="K69" s="22" t="str">
        <f t="shared" si="11"/>
        <v/>
      </c>
      <c r="L69" s="22" t="str">
        <f t="shared" si="11"/>
        <v/>
      </c>
      <c r="M69" s="22" t="str">
        <f t="shared" si="11"/>
        <v/>
      </c>
      <c r="Q69" s="10">
        <f>SUM(Q65:Q68)</f>
        <v>0</v>
      </c>
    </row>
    <row r="70" spans="4:17" ht="15.75" thickBot="1" x14ac:dyDescent="0.3">
      <c r="D70" s="23" t="str">
        <f t="shared" ref="D70:M70" si="12">CHOOSE($C$1,"","","","","",$M$35,"")</f>
        <v/>
      </c>
      <c r="E70" s="23" t="str">
        <f t="shared" si="12"/>
        <v/>
      </c>
      <c r="F70" s="23" t="str">
        <f t="shared" si="12"/>
        <v/>
      </c>
      <c r="G70" s="23" t="str">
        <f t="shared" si="12"/>
        <v/>
      </c>
      <c r="H70" s="23" t="str">
        <f t="shared" si="12"/>
        <v/>
      </c>
      <c r="I70" s="23" t="str">
        <f t="shared" si="12"/>
        <v/>
      </c>
      <c r="J70" s="23" t="str">
        <f t="shared" si="12"/>
        <v/>
      </c>
      <c r="K70" s="23" t="str">
        <f t="shared" si="12"/>
        <v/>
      </c>
      <c r="L70" s="23" t="str">
        <f t="shared" si="12"/>
        <v/>
      </c>
      <c r="M70" s="23" t="str">
        <f t="shared" si="12"/>
        <v/>
      </c>
      <c r="P70" t="s">
        <v>124</v>
      </c>
    </row>
    <row r="71" spans="4:17" ht="15.75" thickBot="1" x14ac:dyDescent="0.3">
      <c r="P71" t="str">
        <f>KR!C72</f>
        <v>vyber Podaktivitu #2</v>
      </c>
      <c r="Q71">
        <f>IF(P71="vyber Podaktivitu #2",0,1)</f>
        <v>0</v>
      </c>
    </row>
    <row r="72" spans="4:17" x14ac:dyDescent="0.25">
      <c r="D72" s="21" t="s">
        <v>192</v>
      </c>
      <c r="E72" t="s">
        <v>193</v>
      </c>
      <c r="F72" t="s">
        <v>194</v>
      </c>
      <c r="G72" t="s">
        <v>195</v>
      </c>
      <c r="P72" t="str">
        <f>KR!C73</f>
        <v>vyber Podaktivitu #3</v>
      </c>
      <c r="Q72">
        <f>IF(P72="vyber Podaktivitu #3",0,1)</f>
        <v>0</v>
      </c>
    </row>
    <row r="73" spans="4:17" x14ac:dyDescent="0.25">
      <c r="D73" s="22" t="str">
        <f>IF($B$23=9,$D$31,IF($B$23=35,$D$36,IF($B$23=36,$D$41,"")))</f>
        <v/>
      </c>
      <c r="E73" s="22" t="str">
        <f>IF($B$23=9,$D$31,IF($B$23=35,$D$36,IF($B$23=36,$D$41,"")))</f>
        <v/>
      </c>
      <c r="F73" s="22" t="str">
        <f>IF($B$23=9,$D$31,IF($B$23=35,$D$36,IF($B$23=36,$D$41,"")))</f>
        <v/>
      </c>
      <c r="G73" s="22" t="str">
        <f>IF($B$23=9,$D$31,IF($B$23=35,$D$36,IF($B$23=36,$D$41,"")))</f>
        <v/>
      </c>
      <c r="P73" t="str">
        <f>KR!C74</f>
        <v>vyber Podaktivitu #4</v>
      </c>
      <c r="Q73">
        <f>IF(P73="vyber Podaktivitu #4",0,1)</f>
        <v>0</v>
      </c>
    </row>
    <row r="74" spans="4:17" x14ac:dyDescent="0.25">
      <c r="D74" s="22" t="str">
        <f>IF($B$23=9,$D$32,IF($B$23=35,$D$37,IF($B$23=36,$D$42,"")))</f>
        <v/>
      </c>
      <c r="E74" s="22" t="str">
        <f>IF($B$23=9,$D$32,IF($B$23=35,$D$37,IF($B$23=36,$D$42,"")))</f>
        <v/>
      </c>
      <c r="F74" s="22" t="str">
        <f>IF($B$23=9,$D$32,IF($B$23=35,$D$37,IF($B$23=36,$D$42,"")))</f>
        <v/>
      </c>
      <c r="G74" s="22" t="str">
        <f>IF($B$23=9,$D$32,IF($B$23=35,$D$37,IF($B$23=36,$D$42,"")))</f>
        <v/>
      </c>
      <c r="Q74" s="10">
        <f>SUM(Q71:Q73)</f>
        <v>0</v>
      </c>
    </row>
    <row r="75" spans="4:17" x14ac:dyDescent="0.25">
      <c r="D75" s="22" t="str">
        <f>IF($B$23=9,$D$33,IF($B$23=35,$D$38,""))</f>
        <v/>
      </c>
      <c r="E75" s="22" t="str">
        <f>IF($B$23=9,$D$33,IF($B$23=35,$D$38,""))</f>
        <v/>
      </c>
      <c r="F75" s="22" t="str">
        <f>IF($B$23=9,$D$33,IF($B$23=35,$D$38,""))</f>
        <v/>
      </c>
      <c r="G75" s="22" t="str">
        <f>IF($B$23=9,$D$33,IF($B$23=35,$D$38,""))</f>
        <v/>
      </c>
    </row>
    <row r="76" spans="4:17" x14ac:dyDescent="0.25">
      <c r="D76" s="22" t="str">
        <f>IF($B$23=9,$D$34,IF($B$23=35,$D$39,""))</f>
        <v/>
      </c>
      <c r="E76" s="22" t="str">
        <f>IF($B$23=9,$D$34,IF($B$23=35,$D$39,""))</f>
        <v/>
      </c>
      <c r="F76" s="22" t="str">
        <f>IF($B$23=9,$D$34,IF($B$23=35,$D$39,""))</f>
        <v/>
      </c>
      <c r="G76" s="22" t="str">
        <f>IF($B$23=9,$D$34,IF($B$23=35,$D$39,""))</f>
        <v/>
      </c>
    </row>
    <row r="77" spans="4:17" ht="15.75" thickBot="1" x14ac:dyDescent="0.3">
      <c r="D77" s="23" t="str">
        <f>IF($B$23=9,$D$35,IF($B$23=35,$D$40,""))</f>
        <v/>
      </c>
      <c r="E77" s="23" t="str">
        <f>IF($B$23=9,$D$35,IF($B$23=35,$D$40,""))</f>
        <v/>
      </c>
      <c r="F77" s="23" t="str">
        <f>IF($B$23=9,$D$35,IF($B$23=35,$D$40,""))</f>
        <v/>
      </c>
      <c r="G77" s="23" t="str">
        <f>IF($B$23=9,$D$35,IF($B$23=35,$D$40,""))</f>
        <v/>
      </c>
    </row>
    <row r="78" spans="4:17" ht="15.75" thickBot="1" x14ac:dyDescent="0.3"/>
    <row r="79" spans="4:17" x14ac:dyDescent="0.25">
      <c r="D79" s="21" t="s">
        <v>201</v>
      </c>
      <c r="E79" t="s">
        <v>202</v>
      </c>
      <c r="F79" t="s">
        <v>203</v>
      </c>
    </row>
    <row r="80" spans="4:17" x14ac:dyDescent="0.25">
      <c r="D80" s="22" t="str">
        <f>IF(AND($B$23=9,$B$24=1),$D$46,IF(AND($B$23=9,$B$24=2),$D$50,IF(AND($B$23=35,$B$24=1),$D$52,"irelevantní")))</f>
        <v>irelevantní</v>
      </c>
      <c r="E80" s="22" t="str">
        <f>IF(AND($B$23=9,$B$24=1),$D$46,IF(AND($B$23=9,$B$24=2),$D$50,IF(AND($B$23=35,$B$24=1),$D$52,"irelevantní")))</f>
        <v>irelevantní</v>
      </c>
      <c r="F80" s="22" t="str">
        <f>IF(AND($B$23=9,$B$24=1),$D$46,IF(AND($B$23=9,$B$24=2),$D$50,IF(AND($B$23=35,$B$24=1),$D$52,"irelevantní")))</f>
        <v>irelevantní</v>
      </c>
    </row>
    <row r="81" spans="4:6" x14ac:dyDescent="0.25">
      <c r="D81" s="22" t="str">
        <f>IF(AND($B$23=9,$B$24=1),$D$47,IF(AND($B$23=9,$B$24=2),$D$51,IF(AND($B$23=35,$B$24=1),$D$53,"irelevantní")))</f>
        <v>irelevantní</v>
      </c>
      <c r="E81" s="22" t="str">
        <f>IF(AND($B$23=9,$B$24=1),$D$47,IF(AND($B$23=9,$B$24=2),$D$51,IF(AND($B$23=35,$B$24=1),$D$53,"irelevantní")))</f>
        <v>irelevantní</v>
      </c>
      <c r="F81" s="22" t="str">
        <f>IF(AND($B$23=9,$B$24=1),$D$47,IF(AND($B$23=9,$B$24=2),$D$51,IF(AND($B$23=35,$B$24=1),$D$53,"irelevantní")))</f>
        <v>irelevantní</v>
      </c>
    </row>
    <row r="82" spans="4:6" x14ac:dyDescent="0.25">
      <c r="D82" s="22" t="str">
        <f>IF(AND($B$23=9,$B$24=1),$D$48,"")</f>
        <v/>
      </c>
      <c r="E82" s="22" t="str">
        <f>IF(AND($B$23=9,$B$24=1),$D$48,"")</f>
        <v/>
      </c>
      <c r="F82" s="22" t="str">
        <f>IF(AND($B$23=9,$B$24=1),$D$48,"")</f>
        <v/>
      </c>
    </row>
    <row r="83" spans="4:6" ht="15.75" thickBot="1" x14ac:dyDescent="0.3">
      <c r="D83" s="23" t="str">
        <f>IF(AND($B$23=9,$B$24=1),$D$49,"")</f>
        <v/>
      </c>
      <c r="E83" s="23" t="str">
        <f>IF(AND($B$23=9,$B$24=1),$D$49,"")</f>
        <v/>
      </c>
      <c r="F83" s="23" t="str">
        <f>IF(AND($B$23=9,$B$24=1),$D$49,"")</f>
        <v/>
      </c>
    </row>
  </sheetData>
  <sheetProtection selectLockedCells="1" selectUnlockedCells="1"/>
  <sortState xmlns:xlrd2="http://schemas.microsoft.com/office/spreadsheetml/2017/richdata2" ref="Q2:Q13">
    <sortCondition ref="Q2"/>
  </sortState>
  <conditionalFormatting sqref="B51:E51">
    <cfRule type="expression" priority="1">
      <formula>$A$56=1</formula>
    </cfRule>
  </conditionalFormatting>
  <conditionalFormatting sqref="C50">
    <cfRule type="expression" priority="2">
      <formula>$A$56=1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C1:D36"/>
  <sheetViews>
    <sheetView workbookViewId="0">
      <selection activeCell="C39" sqref="C39"/>
    </sheetView>
  </sheetViews>
  <sheetFormatPr defaultColWidth="9.140625" defaultRowHeight="15" x14ac:dyDescent="0.25"/>
  <cols>
    <col min="1" max="1" width="2.140625" style="19" customWidth="1"/>
    <col min="2" max="2" width="1.85546875" style="19" customWidth="1"/>
    <col min="3" max="3" width="36.42578125" style="19" bestFit="1" customWidth="1"/>
    <col min="4" max="4" width="123" style="27" bestFit="1" customWidth="1"/>
    <col min="5" max="5" width="34.42578125" style="19" customWidth="1"/>
    <col min="6" max="16384" width="9.140625" style="19"/>
  </cols>
  <sheetData>
    <row r="1" spans="3:4" ht="9.75" customHeight="1" x14ac:dyDescent="0.25"/>
    <row r="2" spans="3:4" ht="14.25" customHeight="1" thickBot="1" x14ac:dyDescent="0.3"/>
    <row r="3" spans="3:4" ht="15.75" x14ac:dyDescent="0.25">
      <c r="C3" s="40" t="s">
        <v>1</v>
      </c>
      <c r="D3" s="29">
        <f>KR!C5</f>
        <v>0</v>
      </c>
    </row>
    <row r="4" spans="3:4" ht="16.5" thickBot="1" x14ac:dyDescent="0.3">
      <c r="C4" s="41" t="s">
        <v>2</v>
      </c>
      <c r="D4" s="33">
        <f>KR!C6</f>
        <v>0</v>
      </c>
    </row>
    <row r="5" spans="3:4" ht="15.75" x14ac:dyDescent="0.25">
      <c r="C5" s="42" t="s">
        <v>78</v>
      </c>
      <c r="D5" s="43" t="str">
        <f>CHOOSE(zdroj!C1,zdroj!D1,zdroj!D2,zdroj!D3,zdroj!D4,zdroj!D5,zdroj!D6,zdroj!D7)</f>
        <v>Vyber Specifický cíl</v>
      </c>
    </row>
    <row r="6" spans="3:4" ht="15.75" x14ac:dyDescent="0.25">
      <c r="C6" s="44" t="s">
        <v>65</v>
      </c>
      <c r="D6" s="31" t="str">
        <f>CHOOSE(zdroj!P2,zdroj!Q2,zdroj!Q3,zdroj!Q4,zdroj!Q5,zdroj!Q6,zdroj!Q7,zdroj!Q8,zdroj!Q9,zdroj!Q10,zdroj!Q11,zdroj!Q12,zdroj!Q13,zdroj!Q14,zdroj!Q15,zdroj!Q16,zdroj!Q17,zdroj!Q18,zdroj!Q19,zdroj!Q20,zdroj!Q21)</f>
        <v>mimo Veřejnou podporu</v>
      </c>
    </row>
    <row r="7" spans="3:4" ht="15.75" x14ac:dyDescent="0.25">
      <c r="C7" s="44" t="s">
        <v>125</v>
      </c>
      <c r="D7" s="31" t="str">
        <f>CHOOSE(zdroj!P26,zdroj!Q26,zdroj!Q27,zdroj!Q28,zdroj!Q29)</f>
        <v>Vyber</v>
      </c>
    </row>
    <row r="8" spans="3:4" ht="16.5" thickBot="1" x14ac:dyDescent="0.3">
      <c r="C8" s="45" t="s">
        <v>74</v>
      </c>
      <c r="D8" s="46" t="str">
        <f>CHOOSE(zdroj!P35,zdroj!Q35,zdroj!Q36,zdroj!Q37,zdroj!Q38)</f>
        <v>irelevantní</v>
      </c>
    </row>
    <row r="9" spans="3:4" x14ac:dyDescent="0.25">
      <c r="C9" s="34" t="s">
        <v>159</v>
      </c>
      <c r="D9" s="35" t="str">
        <f>KR!$D$29</f>
        <v>zadej výdaje/DPH</v>
      </c>
    </row>
    <row r="10" spans="3:4" x14ac:dyDescent="0.25">
      <c r="C10" s="36" t="s">
        <v>81</v>
      </c>
      <c r="D10" s="37" t="str">
        <f>KR!D30</f>
        <v>zadej výdaje/DPH</v>
      </c>
    </row>
    <row r="11" spans="3:4" ht="15.75" thickBot="1" x14ac:dyDescent="0.3">
      <c r="C11" s="38" t="s">
        <v>82</v>
      </c>
      <c r="D11" s="39" t="str">
        <f>KR!D31</f>
        <v>zadej výdaje/DPH</v>
      </c>
    </row>
    <row r="12" spans="3:4" ht="16.5" thickBot="1" x14ac:dyDescent="0.3">
      <c r="C12" s="137" t="s">
        <v>204</v>
      </c>
      <c r="D12" s="138" t="str">
        <f>KR!C51</f>
        <v>Vyber nejprve Specifický cíl a poté hlavní Opatření projektu</v>
      </c>
    </row>
    <row r="13" spans="3:4" x14ac:dyDescent="0.25">
      <c r="C13" s="28" t="s">
        <v>171</v>
      </c>
      <c r="D13" s="29" t="str">
        <f>KR!C52</f>
        <v>vyber Opatření #2</v>
      </c>
    </row>
    <row r="14" spans="3:4" x14ac:dyDescent="0.25">
      <c r="C14" s="30" t="s">
        <v>172</v>
      </c>
      <c r="D14" s="31" t="str">
        <f>KR!C53</f>
        <v>vyber Opatření #3</v>
      </c>
    </row>
    <row r="15" spans="3:4" x14ac:dyDescent="0.25">
      <c r="C15" s="30" t="s">
        <v>173</v>
      </c>
      <c r="D15" s="31" t="str">
        <f>KR!C54</f>
        <v>vyber Opatření #4</v>
      </c>
    </row>
    <row r="16" spans="3:4" x14ac:dyDescent="0.25">
      <c r="C16" s="30" t="s">
        <v>174</v>
      </c>
      <c r="D16" s="31" t="str">
        <f>KR!C55</f>
        <v>vyber Opatření #5</v>
      </c>
    </row>
    <row r="17" spans="3:4" x14ac:dyDescent="0.25">
      <c r="C17" s="30" t="s">
        <v>175</v>
      </c>
      <c r="D17" s="31" t="str">
        <f>KR!C56</f>
        <v>vyber Opatření #6</v>
      </c>
    </row>
    <row r="18" spans="3:4" x14ac:dyDescent="0.25">
      <c r="C18" s="30" t="s">
        <v>176</v>
      </c>
      <c r="D18" s="31" t="str">
        <f>KR!C57</f>
        <v>vyber Opatření #7</v>
      </c>
    </row>
    <row r="19" spans="3:4" x14ac:dyDescent="0.25">
      <c r="C19" s="30" t="s">
        <v>177</v>
      </c>
      <c r="D19" s="31" t="str">
        <f>KR!C58</f>
        <v>vyber Opatření #8</v>
      </c>
    </row>
    <row r="20" spans="3:4" x14ac:dyDescent="0.25">
      <c r="C20" s="30" t="s">
        <v>178</v>
      </c>
      <c r="D20" s="31" t="str">
        <f>KR!C59</f>
        <v>vyber Opatření #9</v>
      </c>
    </row>
    <row r="21" spans="3:4" x14ac:dyDescent="0.25">
      <c r="C21" s="30" t="s">
        <v>179</v>
      </c>
      <c r="D21" s="31" t="str">
        <f>KR!C60</f>
        <v>vyber Opatření #10</v>
      </c>
    </row>
    <row r="22" spans="3:4" ht="15.75" thickBot="1" x14ac:dyDescent="0.3">
      <c r="C22" s="32" t="s">
        <v>180</v>
      </c>
      <c r="D22" s="31" t="str">
        <f>KR!C61</f>
        <v>vyber Opatření #11</v>
      </c>
    </row>
    <row r="23" spans="3:4" ht="16.5" thickBot="1" x14ac:dyDescent="0.3">
      <c r="C23" s="137" t="s">
        <v>205</v>
      </c>
      <c r="D23" s="138" t="str">
        <f>KR!C64</f>
        <v>irelevantní</v>
      </c>
    </row>
    <row r="24" spans="3:4" x14ac:dyDescent="0.25">
      <c r="C24" s="28" t="s">
        <v>207</v>
      </c>
      <c r="D24" s="29" t="str">
        <f>KR!C65</f>
        <v>vyber Aktivitu #2</v>
      </c>
    </row>
    <row r="25" spans="3:4" x14ac:dyDescent="0.25">
      <c r="C25" s="30" t="s">
        <v>208</v>
      </c>
      <c r="D25" s="31" t="str">
        <f>KR!C66</f>
        <v>vyber Aktivitu #3</v>
      </c>
    </row>
    <row r="26" spans="3:4" x14ac:dyDescent="0.25">
      <c r="C26" s="30" t="s">
        <v>209</v>
      </c>
      <c r="D26" s="31" t="str">
        <f>KR!C67</f>
        <v>vyber Aktivitu #4</v>
      </c>
    </row>
    <row r="27" spans="3:4" ht="15.75" thickBot="1" x14ac:dyDescent="0.3">
      <c r="C27" s="32" t="s">
        <v>210</v>
      </c>
      <c r="D27" s="33" t="str">
        <f>KR!C68</f>
        <v>vyber Aktivitu #5</v>
      </c>
    </row>
    <row r="28" spans="3:4" ht="15.75" x14ac:dyDescent="0.25">
      <c r="C28" s="137" t="s">
        <v>206</v>
      </c>
      <c r="D28" s="138" t="str">
        <f>KR!C71</f>
        <v>irelevantní</v>
      </c>
    </row>
    <row r="29" spans="3:4" x14ac:dyDescent="0.25">
      <c r="C29" s="47" t="s">
        <v>211</v>
      </c>
      <c r="D29" s="43" t="str">
        <f>KR!C72</f>
        <v>vyber Podaktivitu #2</v>
      </c>
    </row>
    <row r="30" spans="3:4" x14ac:dyDescent="0.25">
      <c r="C30" s="30" t="s">
        <v>212</v>
      </c>
      <c r="D30" s="31" t="str">
        <f>KR!C73</f>
        <v>vyber Podaktivitu #3</v>
      </c>
    </row>
    <row r="31" spans="3:4" ht="15.75" thickBot="1" x14ac:dyDescent="0.3">
      <c r="C31" s="135" t="s">
        <v>213</v>
      </c>
      <c r="D31" s="46" t="str">
        <f>KR!C74</f>
        <v>vyber Podaktivitu #4</v>
      </c>
    </row>
    <row r="32" spans="3:4" ht="45" x14ac:dyDescent="0.25">
      <c r="C32" s="28" t="s">
        <v>248</v>
      </c>
      <c r="D32" s="35" t="str">
        <f>KR!F41</f>
        <v>zadej výdaje/DPH</v>
      </c>
    </row>
    <row r="33" spans="3:4" ht="75" x14ac:dyDescent="0.25">
      <c r="C33" s="30" t="s">
        <v>249</v>
      </c>
      <c r="D33" s="37" t="str">
        <f>KR!F42</f>
        <v>zadej výdaje/DPH</v>
      </c>
    </row>
    <row r="34" spans="3:4" ht="30.75" thickBot="1" x14ac:dyDescent="0.3">
      <c r="C34" s="135" t="s">
        <v>247</v>
      </c>
      <c r="D34" s="136" t="str">
        <f>KR!F43</f>
        <v>zadej výdaje/DPH</v>
      </c>
    </row>
    <row r="35" spans="3:4" ht="30" x14ac:dyDescent="0.25">
      <c r="C35" s="28" t="s">
        <v>250</v>
      </c>
      <c r="D35" s="35">
        <f>KR!I25</f>
        <v>0</v>
      </c>
    </row>
    <row r="36" spans="3:4" ht="30.75" thickBot="1" x14ac:dyDescent="0.3">
      <c r="C36" s="32" t="s">
        <v>251</v>
      </c>
      <c r="D36" s="39">
        <f>KR!I28</f>
        <v>0</v>
      </c>
    </row>
  </sheetData>
  <pageMargins left="0.7" right="0.7" top="0.78740157499999996" bottom="0.78740157499999996" header="0.3" footer="0.3"/>
  <pageSetup paperSize="9" orientation="portrait" r:id="rId1"/>
  <ignoredErrors>
    <ignoredError sqref="D3:D4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11</vt:i4>
      </vt:variant>
    </vt:vector>
  </HeadingPairs>
  <TitlesOfParts>
    <vt:vector size="14" baseType="lpstr">
      <vt:lpstr>KR</vt:lpstr>
      <vt:lpstr>zdroj</vt:lpstr>
      <vt:lpstr>výstup</vt:lpstr>
      <vt:lpstr>zdroj!_ftn1</vt:lpstr>
      <vt:lpstr>zdroj!_ftn2</vt:lpstr>
      <vt:lpstr>zdroj!_ftnref1</vt:lpstr>
      <vt:lpstr>zdroj!_Hlk72786702</vt:lpstr>
      <vt:lpstr>zdroj!_Toc70076319</vt:lpstr>
      <vt:lpstr>zdroj!_Toc70076332</vt:lpstr>
      <vt:lpstr>zdroj!_Toc88238339</vt:lpstr>
      <vt:lpstr>zdroj!_Toc99112534</vt:lpstr>
      <vt:lpstr>zdroj!_Toc99112553</vt:lpstr>
      <vt:lpstr>KR!Oblast_tisku</vt:lpstr>
      <vt:lpstr>Opatreni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 Martin</dc:creator>
  <cp:lastModifiedBy>Matějka Jan</cp:lastModifiedBy>
  <cp:lastPrinted>2022-07-29T13:36:37Z</cp:lastPrinted>
  <dcterms:created xsi:type="dcterms:W3CDTF">2022-04-07T10:32:55Z</dcterms:created>
  <dcterms:modified xsi:type="dcterms:W3CDTF">2025-09-08T07:27:10Z</dcterms:modified>
</cp:coreProperties>
</file>